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TZpro\wellness nový\CD VZT\xls\"/>
    </mc:Choice>
  </mc:AlternateContent>
  <bookViews>
    <workbookView xWindow="0" yWindow="0" windowWidth="20490" windowHeight="715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Pol'!$A$1:$G$59</definedName>
    <definedName name="_xlnm.Print_Area" localSheetId="1">Stavba!$B$1:$J$57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R47" i="12" l="1"/>
  <c r="AR46" i="12"/>
  <c r="AR45" i="12"/>
  <c r="AR44" i="12"/>
  <c r="AR43" i="12"/>
  <c r="AR41" i="12"/>
  <c r="AR39" i="12"/>
  <c r="AR38" i="12"/>
  <c r="AR37" i="12"/>
  <c r="AR36" i="12"/>
  <c r="AR35" i="12"/>
  <c r="AR34" i="12"/>
  <c r="AR33" i="12"/>
  <c r="G52" i="12" l="1"/>
  <c r="Y45" i="12" l="1"/>
  <c r="Y44" i="12"/>
  <c r="Y43" i="12"/>
  <c r="Y42" i="12"/>
  <c r="Y41" i="12"/>
  <c r="Y40" i="12"/>
  <c r="Y39" i="12"/>
  <c r="Y37" i="12"/>
  <c r="Y36" i="12"/>
  <c r="Y35" i="12"/>
  <c r="Z47" i="12"/>
  <c r="AA47" i="12" s="1"/>
  <c r="Z46" i="12"/>
  <c r="AA46" i="12" s="1"/>
  <c r="Y38" i="12"/>
  <c r="G37" i="12" l="1"/>
  <c r="G35" i="12"/>
  <c r="Y33" i="12"/>
  <c r="Y34" i="12"/>
  <c r="G33" i="12"/>
  <c r="G34" i="12"/>
  <c r="G36" i="12"/>
  <c r="G38" i="12"/>
  <c r="G39" i="12"/>
  <c r="G40" i="12"/>
  <c r="G41" i="12"/>
  <c r="G42" i="12"/>
  <c r="G43" i="12"/>
  <c r="G44" i="12"/>
  <c r="G45" i="12"/>
  <c r="G46" i="12"/>
  <c r="G47" i="12"/>
  <c r="X58" i="12"/>
  <c r="X59" i="12"/>
  <c r="Y32" i="12"/>
  <c r="G29" i="12"/>
  <c r="G26" i="12"/>
  <c r="G27" i="12"/>
  <c r="G28" i="12"/>
  <c r="G30" i="12"/>
  <c r="G51" i="12"/>
  <c r="G11" i="12" l="1"/>
  <c r="G14" i="12"/>
  <c r="G8" i="12"/>
  <c r="G32" i="12"/>
  <c r="G25" i="12"/>
  <c r="G24" i="12"/>
  <c r="G17" i="12"/>
  <c r="G18" i="12"/>
  <c r="G19" i="12"/>
  <c r="G20" i="12"/>
  <c r="G21" i="12"/>
  <c r="G22" i="12"/>
  <c r="G16" i="12"/>
  <c r="G49" i="12"/>
  <c r="G53" i="12"/>
  <c r="G54" i="12"/>
  <c r="G55" i="12"/>
  <c r="G10" i="12"/>
  <c r="G12" i="12"/>
  <c r="G23" i="12" l="1"/>
  <c r="I54" i="1" s="1"/>
  <c r="G13" i="12"/>
  <c r="I51" i="1" s="1"/>
  <c r="G9" i="12"/>
  <c r="I50" i="1" s="1"/>
  <c r="G7" i="12"/>
  <c r="I49" i="1" s="1"/>
  <c r="G59" i="12"/>
  <c r="G58" i="12"/>
  <c r="G57" i="12" l="1"/>
  <c r="G15" i="12"/>
  <c r="I53" i="1" s="1"/>
  <c r="I56" i="1" l="1"/>
  <c r="G31" i="12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I10" i="12"/>
  <c r="K10" i="12"/>
  <c r="M10" i="12"/>
  <c r="O10" i="12"/>
  <c r="Q10" i="12"/>
  <c r="U10" i="12"/>
  <c r="I12" i="12"/>
  <c r="K12" i="12"/>
  <c r="M12" i="12"/>
  <c r="O12" i="12"/>
  <c r="Q12" i="12"/>
  <c r="U12" i="12"/>
  <c r="I14" i="12"/>
  <c r="I13" i="12" s="1"/>
  <c r="K14" i="12"/>
  <c r="K13" i="12" s="1"/>
  <c r="M14" i="12"/>
  <c r="M13" i="12" s="1"/>
  <c r="O14" i="12"/>
  <c r="O13" i="12" s="1"/>
  <c r="Q14" i="12"/>
  <c r="Q13" i="12" s="1"/>
  <c r="U14" i="12"/>
  <c r="U13" i="12" s="1"/>
  <c r="I50" i="12"/>
  <c r="K50" i="12"/>
  <c r="O50" i="12"/>
  <c r="Q50" i="12"/>
  <c r="U50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O56" i="12"/>
  <c r="Q56" i="12"/>
  <c r="U56" i="12"/>
  <c r="I18" i="12"/>
  <c r="I15" i="12" s="1"/>
  <c r="K18" i="12"/>
  <c r="K15" i="12" s="1"/>
  <c r="M18" i="12"/>
  <c r="M15" i="12" s="1"/>
  <c r="O18" i="12"/>
  <c r="O15" i="12" s="1"/>
  <c r="Q18" i="12"/>
  <c r="Q15" i="12" s="1"/>
  <c r="U18" i="12"/>
  <c r="U15" i="12" s="1"/>
  <c r="I24" i="12"/>
  <c r="K24" i="12"/>
  <c r="M24" i="12"/>
  <c r="O24" i="12"/>
  <c r="Q24" i="12"/>
  <c r="U24" i="12"/>
  <c r="I25" i="12"/>
  <c r="K25" i="12"/>
  <c r="M25" i="12"/>
  <c r="O25" i="12"/>
  <c r="Q25" i="12"/>
  <c r="U25" i="12"/>
  <c r="I30" i="12"/>
  <c r="K30" i="12"/>
  <c r="M30" i="12"/>
  <c r="O30" i="12"/>
  <c r="Q30" i="12"/>
  <c r="U30" i="12"/>
  <c r="I32" i="12"/>
  <c r="K32" i="12"/>
  <c r="M32" i="12"/>
  <c r="O32" i="12"/>
  <c r="Q32" i="12"/>
  <c r="U32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F42" i="1"/>
  <c r="G42" i="1"/>
  <c r="H42" i="1"/>
  <c r="I42" i="1"/>
  <c r="J40" i="1" s="1"/>
  <c r="J41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I55" i="1" l="1"/>
  <c r="G56" i="12"/>
  <c r="M56" i="12" s="1"/>
  <c r="Q23" i="12"/>
  <c r="I23" i="12"/>
  <c r="Q57" i="12"/>
  <c r="I57" i="12"/>
  <c r="O9" i="12"/>
  <c r="O31" i="12"/>
  <c r="U31" i="12"/>
  <c r="K31" i="12"/>
  <c r="U48" i="12"/>
  <c r="K48" i="12"/>
  <c r="O48" i="12"/>
  <c r="M9" i="12"/>
  <c r="Q9" i="12"/>
  <c r="I9" i="12"/>
  <c r="U57" i="12"/>
  <c r="K57" i="12"/>
  <c r="O57" i="12"/>
  <c r="U23" i="12"/>
  <c r="K23" i="12"/>
  <c r="O23" i="12"/>
  <c r="Q48" i="12"/>
  <c r="I48" i="12"/>
  <c r="M57" i="12"/>
  <c r="M23" i="12"/>
  <c r="Q31" i="12"/>
  <c r="I31" i="12"/>
  <c r="M31" i="12"/>
  <c r="U9" i="12"/>
  <c r="K9" i="12"/>
  <c r="G50" i="12" l="1"/>
  <c r="M50" i="12" s="1"/>
  <c r="M48" i="12" s="1"/>
  <c r="G48" i="12" l="1"/>
  <c r="I52" i="1" s="1"/>
  <c r="I57" i="1" s="1"/>
  <c r="J51" i="1" s="1"/>
  <c r="J52" i="1" l="1"/>
  <c r="J55" i="1"/>
  <c r="J54" i="1"/>
  <c r="I16" i="1"/>
  <c r="I21" i="1" s="1"/>
  <c r="G26" i="1" s="1"/>
  <c r="J53" i="1"/>
  <c r="J49" i="1"/>
  <c r="J50" i="1"/>
  <c r="J56" i="1"/>
  <c r="J57" i="1" l="1"/>
  <c r="G25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<sst xmlns="http://schemas.openxmlformats.org/spreadsheetml/2006/main" count="343" uniqueCount="199">
  <si>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</si>
  <si>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</si>
  <si>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</si>
  <si>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</si>
  <si>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</si>
  <si>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</si>
  <si>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</si>
  <si>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</si>
  <si>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</si>
  <si>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</si>
  <si>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</si>
  <si>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</si>
  <si>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</si>
  <si>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</si>
  <si>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</si>
  <si>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</si>
  <si>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</si>
  <si>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</si>
  <si>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</si>
  <si>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</si>
  <si>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</si>
  <si>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</si>
  <si>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</si>
  <si>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</si>
  <si>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</si>
  <si>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</si>
  <si>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</si>
  <si>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</si>
  <si>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</si>
  <si>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</si>
  <si>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</si>
  <si>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</si>
  <si>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</si>
  <si>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</si>
  <si>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</si>
  <si>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</si>
  <si>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</si>
  <si>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</si>
  <si>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</si>
  <si>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</si>
  <si>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</si>
  <si>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</si>
  <si>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</si>
  <si>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VZT</t>
  </si>
  <si>
    <t>ZŠ Hradec nad Svitavou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</si>
  <si>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</si>
  <si>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</si>
  <si>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</si>
  <si>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</si>
  <si>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</si>
  <si>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</si>
  <si>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</si>
  <si>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VZT jednotky</t>
  </si>
  <si>
    <t>02</t>
  </si>
  <si>
    <t>Koncové kusy</t>
  </si>
  <si>
    <t>03</t>
  </si>
  <si>
    <t>Ventilátory</t>
  </si>
  <si>
    <t>07</t>
  </si>
  <si>
    <t>Ostatní</t>
  </si>
  <si>
    <t>04</t>
  </si>
  <si>
    <t>Potrubní elementy</t>
  </si>
  <si>
    <t>05</t>
  </si>
  <si>
    <t>Distribuční elementy</t>
  </si>
  <si>
    <t>06</t>
  </si>
  <si>
    <t>Potrubí</t>
  </si>
  <si>
    <t>08</t>
  </si>
  <si>
    <t>Izolace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</si>
  <si>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</si>
  <si>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</si>
  <si>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</si>
  <si>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</si>
  <si>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</si>
  <si>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</si>
  <si>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</si>
  <si>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</si>
  <si>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</si>
  <si>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</si>
  <si>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</si>
  <si>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</si>
  <si>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</si>
  <si>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</si>
  <si>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</si>
  <si>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</si>
  <si>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</si>
  <si>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</si>
  <si>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</si>
  <si>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</si>
  <si>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</si>
  <si>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</si>
  <si>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</si>
  <si>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</si>
  <si>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</si>
  <si>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</si>
  <si>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</si>
  <si>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Rvzt01</t>
  </si>
  <si>
    <t>Vlastní</t>
  </si>
  <si>
    <t>POL3_</t>
  </si>
  <si>
    <t>Rvzt02</t>
  </si>
  <si>
    <t>ks</t>
  </si>
  <si>
    <t>Rvzt04</t>
  </si>
  <si>
    <t>Rvzt5</t>
  </si>
  <si>
    <t>rvzt26</t>
  </si>
  <si>
    <t>m</t>
  </si>
  <si>
    <t>rvzt28</t>
  </si>
  <si>
    <t>rvzt29</t>
  </si>
  <si>
    <t>Autorský dozor</t>
  </si>
  <si>
    <t>rvzt30</t>
  </si>
  <si>
    <t>Mimostaveništní doprava</t>
  </si>
  <si>
    <t>rvzt32</t>
  </si>
  <si>
    <t>Zařízení staveniště</t>
  </si>
  <si>
    <t>Rvzt9</t>
  </si>
  <si>
    <t>Rvzt6</t>
  </si>
  <si>
    <t>Talířový ventil odvodní kovový d100 včetně montážního kroužku</t>
  </si>
  <si>
    <t>Přívodní kovová mřížka dvouřadá 200x100 včetně rámečku a regulační klapky</t>
  </si>
  <si>
    <t>Rvzt8</t>
  </si>
  <si>
    <t>Odvodní kovová mřížka jednořadá 200x100 včetně rámečku a regulační klapky</t>
  </si>
  <si>
    <t>Rvzt10</t>
  </si>
  <si>
    <t>Čtyřhranné potrubí sk. I 315x200mm včetně tvarovek, závěsů, těsnění a spojovacího materiálu</t>
  </si>
  <si>
    <t>Čtyřhranné potrubí sk. I 400x200mm včetně tvarovek, závěsů, těsnění a spojovacího materiálu</t>
  </si>
  <si>
    <t xml:space="preserve">m2    </t>
  </si>
  <si>
    <t>rvzt33</t>
  </si>
  <si>
    <t>rvzt34</t>
  </si>
  <si>
    <t>kaučuková parotěsná izolace 20mm včetně montáže</t>
  </si>
  <si>
    <t/>
  </si>
  <si>
    <t>END</t>
  </si>
  <si>
    <t>Rvzt9B</t>
  </si>
  <si>
    <t>Rvzt9C</t>
  </si>
  <si>
    <t>Rvzt9D</t>
  </si>
  <si>
    <t>Rvzt9E</t>
  </si>
  <si>
    <t>Rvzt9F</t>
  </si>
  <si>
    <t>Rvzt9G</t>
  </si>
  <si>
    <t>rvzt24</t>
  </si>
  <si>
    <t>Rekonstrukce a stavební upravy stávající sauny v Ústí nad Orlicí</t>
  </si>
  <si>
    <t>Wellness Ustní nad Orlicí</t>
  </si>
  <si>
    <t>20</t>
  </si>
  <si>
    <t>Stěnový axiální ventilátor HXM 250 Qp=500 m3/h</t>
  </si>
  <si>
    <t>Protideštová žaluzie se sítí proti hmyzu 315x200mm</t>
  </si>
  <si>
    <t>Jimka kondenzátu 630x315</t>
  </si>
  <si>
    <t>Kulisový tlumič hluku 630x315mm l250mm 4xkulisa 100mm s náběhy a odtoky</t>
  </si>
  <si>
    <t>Kulisový tlumič hluku 630x315mm l1000mm 4xkulisa 100mm s náběhy a odtoky</t>
  </si>
  <si>
    <t>Kulisový tlumič hluku 630x160mm l500mm 4xkulisa 100mm s náběhy a odtoky</t>
  </si>
  <si>
    <t>Kulisový tlumič hluku 630x315mm l400mm 4xkulisa 100mm s náběhy a odtoky</t>
  </si>
  <si>
    <t>Kulisový tlumič hluku 500x200mm l200mm 3xkulisa 100mm s náběhy a odtoky</t>
  </si>
  <si>
    <t>Kulisový tlumič hluku 500x200mm l600mm 3xkulisa 100mm s náběhy a odtoky</t>
  </si>
  <si>
    <t>Dokumentace skutečného provedení</t>
  </si>
  <si>
    <t>Odvod kondenzátu</t>
  </si>
  <si>
    <t>soubor</t>
  </si>
  <si>
    <t>Přívodní stěnová mřížka 200x100, včetně regulace a rámečku</t>
  </si>
  <si>
    <t>Odvodní stěnová mřížka 200x100, včetně regulace a rámečku</t>
  </si>
  <si>
    <t>Kovová mřížka 500x200 včetně rámečku</t>
  </si>
  <si>
    <t>Přívodní stěnová mřížka 315x200, včetně rámečku</t>
  </si>
  <si>
    <t>Izolace minerální vata tl.40mm + oplechování včetně montáže</t>
  </si>
  <si>
    <t>m2</t>
  </si>
  <si>
    <t>N</t>
  </si>
  <si>
    <t>Čtyřhranné potrubí sk. I 200x100mm včetně tvarovek, závěsů, těsnění a spojovacího materiálu</t>
  </si>
  <si>
    <t>Čtyřhranné potrubí NEREZ. 200x100mm včetně tvarovek, závěsů, těsnění a spojovacího materiálu</t>
  </si>
  <si>
    <t>Čtyřhranné potrubí NEREZ. 200x160mm včetně tvarovek, závěsů, těsnění a spojovacího materiálu</t>
  </si>
  <si>
    <t>Čtyřhranné potrubí sk. I 200x200mm včetně tvarovek, závěsů, těsnění a spojovacího materiálu</t>
  </si>
  <si>
    <t>Čtyřhranné potrubí sk. I 250x200mm včetně tvarovek, závěsů, těsnění a spojovacího materiálu</t>
  </si>
  <si>
    <t>Čtyřhranné potrubí sk. I 250x250mm včetně tvarovek, závěsů, těsnění a spojovacího materiálu</t>
  </si>
  <si>
    <t>Čtyřhranné potrubí NEREZ. 280x160mm včetně tvarovek, závěsů, těsnění a spojovacího materiálu</t>
  </si>
  <si>
    <t>Čtyřhranné potrubí NEREZ. 355x160mm včetně tvarovek, závěsů, těsnění a spojovacího materiálu</t>
  </si>
  <si>
    <t>Čtyřhranné potrubí sk. I 450x200mm včetně tvarovek, závěsů, těsnění a spojovacího materiálu</t>
  </si>
  <si>
    <t>Čtyřhranné potrubí NEREZ. 500x200mm včetně tvarovek, závěsů, těsnění a spojovacího materiálu</t>
  </si>
  <si>
    <t>Čtyřhranné potrubí NEREZ. I 630x160mm včetně tvarovek, závěsů, těsnění a spojovacího materiálu</t>
  </si>
  <si>
    <t>Čtyřhranné potrubí NEREZ. I 630x315mm včetně tvarovek, závěsů, těsnění a spojovacího materiálu</t>
  </si>
  <si>
    <t>Čtyřhranné potrubí sk. I 630x315mm včetně tvarovek, závěsů, těsnění a spojovacího materiálu</t>
  </si>
  <si>
    <t>Montáž vzduchotechniky</t>
  </si>
  <si>
    <t>Podstropní VZT jednotka Remak Aeromaster FP 2.7 s rekuperací 94% s el. ohřevem 6kW Qo=Qp=800m3/h, včetně MaR, ovladače a pružných manžet</t>
  </si>
  <si>
    <t>Žaluziová kapka samotížná TRK 250</t>
  </si>
  <si>
    <t>Silentblok v provedení do interiéru, únostnost 100kg</t>
  </si>
  <si>
    <t>Protideštová žaluzie se sítí proti hmyzu 630x315mm</t>
  </si>
  <si>
    <t>Spiro potrubí NEREZ. d100 včetně tvarovek, závěsů, těsnění a spojovacího materiálu</t>
  </si>
  <si>
    <t>rtvzt0709</t>
  </si>
  <si>
    <t>rtvzt0710</t>
  </si>
  <si>
    <t>Nosná konstrukce pro VZT jednotku (součást dodávky VZT jednotky)</t>
  </si>
  <si>
    <t>Rvzt03</t>
  </si>
  <si>
    <t>Rvzt7q</t>
  </si>
  <si>
    <t>Rvzt7A</t>
  </si>
  <si>
    <t>Rvzt7B</t>
  </si>
  <si>
    <t>Rvzt7C</t>
  </si>
  <si>
    <t>Rvzt7D</t>
  </si>
  <si>
    <t>Rvzt11</t>
  </si>
  <si>
    <t>Rvzt12</t>
  </si>
  <si>
    <t>Rvzt13</t>
  </si>
  <si>
    <t>Rvzt14</t>
  </si>
  <si>
    <t>Rvzt15</t>
  </si>
  <si>
    <t>Rvzt16</t>
  </si>
  <si>
    <t>Rvzt17</t>
  </si>
  <si>
    <t>Rvzt18</t>
  </si>
  <si>
    <t>Rvzt19</t>
  </si>
  <si>
    <t>Rvzt20</t>
  </si>
  <si>
    <t>Rvzt21</t>
  </si>
  <si>
    <t>Rvzt22</t>
  </si>
  <si>
    <t>Rvzt23</t>
  </si>
  <si>
    <t>Rvzt231</t>
  </si>
  <si>
    <t>Rvzt232</t>
  </si>
  <si>
    <t>Výkaz Výměr</t>
  </si>
  <si>
    <t>Výkaz výměr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</si>
</sst>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3" borderId="30" xfId="0" applyNumberFormat="1" applyFill="1" applyBorder="1" applyAlignment="1">
      <alignment vertical="top" shrinkToFit="1"/>
    </xf>
    <xf numFmtId="4" fontId="0" fillId="3" borderId="26" xfId="0" applyNumberFormat="1" applyFill="1" applyBorder="1" applyAlignment="1">
      <alignment vertical="top" shrinkToFit="1"/>
    </xf>
    <xf numFmtId="0" fontId="16" fillId="0" borderId="0" xfId="0" applyFont="1" applyFill="1"/>
    <xf numFmtId="0" fontId="0" fillId="0" borderId="0" xfId="0" applyFill="1"/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SERV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39</v>
      </c>
    </row>
    <row r="2" spans="1:7" ht="57.75" customHeight="1" x14ac:dyDescent="0.2">
      <c r="A2" s="202" t="s">
        <v>40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N6" sqref="N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37</v>
      </c>
      <c r="B1" s="213" t="s">
        <v>198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2" t="s">
        <v>23</v>
      </c>
      <c r="C2" s="83"/>
      <c r="D2" s="84" t="s">
        <v>134</v>
      </c>
      <c r="E2" s="89" t="s">
        <v>133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42</v>
      </c>
      <c r="E3" s="89" t="s">
        <v>132</v>
      </c>
      <c r="F3" s="90"/>
      <c r="G3" s="90"/>
      <c r="H3" s="83"/>
      <c r="I3" s="91"/>
      <c r="J3" s="92"/>
    </row>
    <row r="4" spans="1:15" ht="23.25" customHeight="1" x14ac:dyDescent="0.2">
      <c r="A4" s="81">
        <v>972</v>
      </c>
      <c r="B4" s="93" t="s">
        <v>46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23"/>
      <c r="E11" s="223"/>
      <c r="F11" s="223"/>
      <c r="G11" s="223"/>
      <c r="H11" s="28" t="s">
        <v>41</v>
      </c>
      <c r="I11" s="33"/>
      <c r="J11" s="11"/>
    </row>
    <row r="12" spans="1:15" ht="15.75" customHeight="1" x14ac:dyDescent="0.2">
      <c r="A12" s="4"/>
      <c r="B12" s="42"/>
      <c r="C12" s="26"/>
      <c r="D12" s="226"/>
      <c r="E12" s="226"/>
      <c r="F12" s="226"/>
      <c r="G12" s="226"/>
      <c r="H12" s="28" t="s">
        <v>35</v>
      </c>
      <c r="I12" s="33"/>
      <c r="J12" s="11"/>
    </row>
    <row r="13" spans="1:15" ht="15.75" customHeight="1" x14ac:dyDescent="0.2">
      <c r="A13" s="4"/>
      <c r="B13" s="43"/>
      <c r="C13" s="27"/>
      <c r="D13" s="227"/>
      <c r="E13" s="227"/>
      <c r="F13" s="227"/>
      <c r="G13" s="227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22"/>
      <c r="F15" s="222"/>
      <c r="G15" s="224"/>
      <c r="H15" s="224"/>
      <c r="I15" s="224" t="s">
        <v>30</v>
      </c>
      <c r="J15" s="225"/>
    </row>
    <row r="16" spans="1:15" ht="23.25" customHeight="1" x14ac:dyDescent="0.2">
      <c r="A16" s="157" t="s">
        <v>25</v>
      </c>
      <c r="B16" s="58" t="s">
        <v>25</v>
      </c>
      <c r="C16" s="59"/>
      <c r="D16" s="60"/>
      <c r="E16" s="203"/>
      <c r="F16" s="204"/>
      <c r="G16" s="203"/>
      <c r="H16" s="204"/>
      <c r="I16" s="203">
        <f>I57</f>
        <v>0</v>
      </c>
      <c r="J16" s="210"/>
    </row>
    <row r="17" spans="1:10" ht="23.25" customHeight="1" x14ac:dyDescent="0.2">
      <c r="A17" s="157" t="s">
        <v>26</v>
      </c>
      <c r="B17" s="58" t="s">
        <v>26</v>
      </c>
      <c r="C17" s="59"/>
      <c r="D17" s="60"/>
      <c r="E17" s="203"/>
      <c r="F17" s="204"/>
      <c r="G17" s="203"/>
      <c r="H17" s="204"/>
      <c r="I17" s="203">
        <v>0</v>
      </c>
      <c r="J17" s="210"/>
    </row>
    <row r="18" spans="1:10" ht="23.25" customHeight="1" x14ac:dyDescent="0.2">
      <c r="A18" s="157" t="s">
        <v>27</v>
      </c>
      <c r="B18" s="58" t="s">
        <v>27</v>
      </c>
      <c r="C18" s="59"/>
      <c r="D18" s="60"/>
      <c r="E18" s="203"/>
      <c r="F18" s="204"/>
      <c r="G18" s="203"/>
      <c r="H18" s="204"/>
      <c r="I18" s="203">
        <v>0</v>
      </c>
      <c r="J18" s="210"/>
    </row>
    <row r="19" spans="1:10" ht="23.25" customHeight="1" x14ac:dyDescent="0.2">
      <c r="A19" s="157" t="s">
        <v>67</v>
      </c>
      <c r="B19" s="58" t="s">
        <v>28</v>
      </c>
      <c r="C19" s="59"/>
      <c r="D19" s="60"/>
      <c r="E19" s="203"/>
      <c r="F19" s="204"/>
      <c r="G19" s="203"/>
      <c r="H19" s="204"/>
      <c r="I19" s="203">
        <v>0</v>
      </c>
      <c r="J19" s="210"/>
    </row>
    <row r="20" spans="1:10" ht="23.25" customHeight="1" x14ac:dyDescent="0.2">
      <c r="A20" s="157" t="s">
        <v>68</v>
      </c>
      <c r="B20" s="58" t="s">
        <v>29</v>
      </c>
      <c r="C20" s="59"/>
      <c r="D20" s="60"/>
      <c r="E20" s="203"/>
      <c r="F20" s="204"/>
      <c r="G20" s="203"/>
      <c r="H20" s="204"/>
      <c r="I20" s="203">
        <v>0</v>
      </c>
      <c r="J20" s="210"/>
    </row>
    <row r="21" spans="1:10" ht="23.25" customHeight="1" x14ac:dyDescent="0.2">
      <c r="A21" s="4"/>
      <c r="B21" s="75" t="s">
        <v>30</v>
      </c>
      <c r="C21" s="76"/>
      <c r="D21" s="77"/>
      <c r="E21" s="211"/>
      <c r="F21" s="220"/>
      <c r="G21" s="211"/>
      <c r="H21" s="220"/>
      <c r="I21" s="211">
        <f>SUM(I16:J20)</f>
        <v>0</v>
      </c>
      <c r="J21" s="212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08">
        <v>0</v>
      </c>
      <c r="H23" s="209"/>
      <c r="I23" s="209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06">
        <v>0</v>
      </c>
      <c r="H24" s="207"/>
      <c r="I24" s="207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08">
        <f>I21</f>
        <v>0</v>
      </c>
      <c r="H25" s="209"/>
      <c r="I25" s="209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16">
        <f>I21*0.21</f>
        <v>0</v>
      </c>
      <c r="H26" s="217"/>
      <c r="I26" s="217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18">
        <v>0</v>
      </c>
      <c r="H27" s="218"/>
      <c r="I27" s="218"/>
      <c r="J27" s="64" t="str">
        <f t="shared" si="0"/>
        <v>CZK</v>
      </c>
    </row>
    <row r="28" spans="1:10" ht="27.75" hidden="1" customHeight="1" thickBot="1" x14ac:dyDescent="0.25">
      <c r="A28" s="4"/>
      <c r="B28" s="127" t="s">
        <v>24</v>
      </c>
      <c r="C28" s="128"/>
      <c r="D28" s="128"/>
      <c r="E28" s="129"/>
      <c r="F28" s="130"/>
      <c r="G28" s="219">
        <v>373215.08</v>
      </c>
      <c r="H28" s="221"/>
      <c r="I28" s="221"/>
      <c r="J28" s="131" t="str">
        <f t="shared" si="0"/>
        <v>CZK</v>
      </c>
    </row>
    <row r="29" spans="1:10" ht="27.75" customHeight="1" thickBot="1" x14ac:dyDescent="0.25">
      <c r="A29" s="4"/>
      <c r="B29" s="127" t="s">
        <v>36</v>
      </c>
      <c r="C29" s="132"/>
      <c r="D29" s="132"/>
      <c r="E29" s="132"/>
      <c r="F29" s="132"/>
      <c r="G29" s="219">
        <f>ZakladDPHZakl+DPHZakl</f>
        <v>0</v>
      </c>
      <c r="H29" s="219"/>
      <c r="I29" s="219"/>
      <c r="J29" s="133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42891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05" t="s">
        <v>2</v>
      </c>
      <c r="E35" s="205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5"/>
      <c r="G37" s="115"/>
      <c r="H37" s="115"/>
      <c r="I37" s="115"/>
      <c r="J37" s="3"/>
    </row>
    <row r="38" spans="1:10" ht="25.5" hidden="1" customHeight="1" x14ac:dyDescent="0.2">
      <c r="A38" s="103" t="s">
        <v>38</v>
      </c>
      <c r="B38" s="107" t="s">
        <v>17</v>
      </c>
      <c r="C38" s="108" t="s">
        <v>5</v>
      </c>
      <c r="D38" s="109"/>
      <c r="E38" s="109"/>
      <c r="F38" s="116" t="str">
        <f>B23</f>
        <v>Základ pro sníženou DPH</v>
      </c>
      <c r="G38" s="116" t="str">
        <f>B25</f>
        <v>Základ pro základní DPH</v>
      </c>
      <c r="H38" s="117" t="s">
        <v>18</v>
      </c>
      <c r="I38" s="117" t="s">
        <v>1</v>
      </c>
      <c r="J38" s="110" t="s">
        <v>0</v>
      </c>
    </row>
    <row r="39" spans="1:10" ht="25.5" hidden="1" customHeight="1" x14ac:dyDescent="0.2">
      <c r="A39" s="103">
        <v>1</v>
      </c>
      <c r="B39" s="111" t="s">
        <v>47</v>
      </c>
      <c r="C39" s="230"/>
      <c r="D39" s="231"/>
      <c r="E39" s="231"/>
      <c r="F39" s="118">
        <v>0</v>
      </c>
      <c r="G39" s="119">
        <v>373215.08</v>
      </c>
      <c r="H39" s="120">
        <v>78375.17</v>
      </c>
      <c r="I39" s="120">
        <v>451590.25</v>
      </c>
      <c r="J39" s="112">
        <f>IF(CenaCelkemVypocet=0,"",I39/CenaCelkemVypocet*100)</f>
        <v>100</v>
      </c>
    </row>
    <row r="40" spans="1:10" ht="25.5" hidden="1" customHeight="1" x14ac:dyDescent="0.2">
      <c r="A40" s="103">
        <v>2</v>
      </c>
      <c r="B40" s="104" t="s">
        <v>42</v>
      </c>
      <c r="C40" s="232" t="s">
        <v>44</v>
      </c>
      <c r="D40" s="233"/>
      <c r="E40" s="233"/>
      <c r="F40" s="121">
        <v>0</v>
      </c>
      <c r="G40" s="122">
        <v>373215.08</v>
      </c>
      <c r="H40" s="122">
        <v>78375.17</v>
      </c>
      <c r="I40" s="122">
        <v>451590.25</v>
      </c>
      <c r="J40" s="105">
        <f>IF(CenaCelkemVypocet=0,"",I40/CenaCelkemVypocet*100)</f>
        <v>100</v>
      </c>
    </row>
    <row r="41" spans="1:10" ht="25.5" hidden="1" customHeight="1" x14ac:dyDescent="0.2">
      <c r="A41" s="103">
        <v>3</v>
      </c>
      <c r="B41" s="113" t="s">
        <v>42</v>
      </c>
      <c r="C41" s="234" t="s">
        <v>43</v>
      </c>
      <c r="D41" s="235"/>
      <c r="E41" s="235"/>
      <c r="F41" s="123">
        <v>0</v>
      </c>
      <c r="G41" s="124">
        <v>373215.08</v>
      </c>
      <c r="H41" s="124">
        <v>78375.17</v>
      </c>
      <c r="I41" s="124">
        <v>451590.25</v>
      </c>
      <c r="J41" s="114">
        <f>IF(CenaCelkemVypocet=0,"",I41/CenaCelkemVypocet*100)</f>
        <v>100</v>
      </c>
    </row>
    <row r="42" spans="1:10" ht="25.5" hidden="1" customHeight="1" x14ac:dyDescent="0.2">
      <c r="A42" s="103"/>
      <c r="B42" s="236" t="s">
        <v>48</v>
      </c>
      <c r="C42" s="237"/>
      <c r="D42" s="237"/>
      <c r="E42" s="238"/>
      <c r="F42" s="125">
        <f>SUMIF(A39:A41,"=1",F39:F41)</f>
        <v>0</v>
      </c>
      <c r="G42" s="126">
        <f>SUMIF(A39:A41,"=1",G39:G41)</f>
        <v>373215.08</v>
      </c>
      <c r="H42" s="126">
        <f>SUMIF(A39:A41,"=1",H39:H41)</f>
        <v>78375.17</v>
      </c>
      <c r="I42" s="126">
        <f>SUMIF(A39:A41,"=1",I39:I41)</f>
        <v>451590.25</v>
      </c>
      <c r="J42" s="106">
        <f>SUMIF(A39:A41,"=1",J39:J41)</f>
        <v>100</v>
      </c>
    </row>
    <row r="46" spans="1:10" ht="15.75" x14ac:dyDescent="0.25">
      <c r="B46" s="134" t="s">
        <v>50</v>
      </c>
    </row>
    <row r="48" spans="1:10" ht="25.5" customHeight="1" x14ac:dyDescent="0.2">
      <c r="A48" s="135"/>
      <c r="B48" s="139" t="s">
        <v>17</v>
      </c>
      <c r="C48" s="139" t="s">
        <v>5</v>
      </c>
      <c r="D48" s="140"/>
      <c r="E48" s="140"/>
      <c r="F48" s="143" t="s">
        <v>51</v>
      </c>
      <c r="G48" s="143"/>
      <c r="H48" s="143"/>
      <c r="I48" s="143" t="s">
        <v>30</v>
      </c>
      <c r="J48" s="143" t="s">
        <v>0</v>
      </c>
    </row>
    <row r="49" spans="1:10" ht="25.5" customHeight="1" x14ac:dyDescent="0.2">
      <c r="A49" s="136"/>
      <c r="B49" s="146" t="s">
        <v>42</v>
      </c>
      <c r="C49" s="239" t="s">
        <v>52</v>
      </c>
      <c r="D49" s="240"/>
      <c r="E49" s="240"/>
      <c r="F49" s="154" t="s">
        <v>25</v>
      </c>
      <c r="G49" s="147"/>
      <c r="H49" s="147"/>
      <c r="I49" s="147">
        <f>'01 01 Pol'!G7</f>
        <v>0</v>
      </c>
      <c r="J49" s="150" t="str">
        <f>IF(I57=0,"",I49/I57*100)</f>
        <v/>
      </c>
    </row>
    <row r="50" spans="1:10" ht="25.5" customHeight="1" x14ac:dyDescent="0.2">
      <c r="A50" s="136"/>
      <c r="B50" s="138" t="s">
        <v>53</v>
      </c>
      <c r="C50" s="241" t="s">
        <v>54</v>
      </c>
      <c r="D50" s="242"/>
      <c r="E50" s="242"/>
      <c r="F50" s="155" t="s">
        <v>25</v>
      </c>
      <c r="G50" s="144"/>
      <c r="H50" s="144"/>
      <c r="I50" s="144">
        <f>'01 01 Pol'!G9</f>
        <v>0</v>
      </c>
      <c r="J50" s="151" t="str">
        <f>IF(I57=0,"",I50/I57*100)</f>
        <v/>
      </c>
    </row>
    <row r="51" spans="1:10" ht="25.5" customHeight="1" x14ac:dyDescent="0.2">
      <c r="A51" s="136"/>
      <c r="B51" s="138" t="s">
        <v>55</v>
      </c>
      <c r="C51" s="241" t="s">
        <v>56</v>
      </c>
      <c r="D51" s="242"/>
      <c r="E51" s="242"/>
      <c r="F51" s="155" t="s">
        <v>25</v>
      </c>
      <c r="G51" s="144"/>
      <c r="H51" s="144"/>
      <c r="I51" s="144">
        <f>'01 01 Pol'!G13</f>
        <v>0</v>
      </c>
      <c r="J51" s="151" t="str">
        <f>IF(I57=0,"",I51/I57*100)</f>
        <v/>
      </c>
    </row>
    <row r="52" spans="1:10" ht="25.5" customHeight="1" x14ac:dyDescent="0.2">
      <c r="A52" s="136"/>
      <c r="B52" s="138" t="s">
        <v>57</v>
      </c>
      <c r="C52" s="241" t="s">
        <v>58</v>
      </c>
      <c r="D52" s="242"/>
      <c r="E52" s="242"/>
      <c r="F52" s="155" t="s">
        <v>25</v>
      </c>
      <c r="G52" s="144"/>
      <c r="H52" s="144"/>
      <c r="I52" s="144">
        <f>'01 01 Pol'!G48</f>
        <v>0</v>
      </c>
      <c r="J52" s="151" t="str">
        <f>IF(I57=0,"",I52/I57*100)</f>
        <v/>
      </c>
    </row>
    <row r="53" spans="1:10" ht="25.5" customHeight="1" x14ac:dyDescent="0.2">
      <c r="A53" s="136"/>
      <c r="B53" s="138" t="s">
        <v>59</v>
      </c>
      <c r="C53" s="241" t="s">
        <v>60</v>
      </c>
      <c r="D53" s="242"/>
      <c r="E53" s="242"/>
      <c r="F53" s="155" t="s">
        <v>25</v>
      </c>
      <c r="G53" s="144"/>
      <c r="H53" s="144"/>
      <c r="I53" s="144">
        <f>'01 01 Pol'!G15</f>
        <v>0</v>
      </c>
      <c r="J53" s="151" t="str">
        <f>IF(I57=0,"",I53/I57*100)</f>
        <v/>
      </c>
    </row>
    <row r="54" spans="1:10" ht="25.5" customHeight="1" x14ac:dyDescent="0.2">
      <c r="A54" s="136"/>
      <c r="B54" s="138" t="s">
        <v>61</v>
      </c>
      <c r="C54" s="241" t="s">
        <v>62</v>
      </c>
      <c r="D54" s="242"/>
      <c r="E54" s="242"/>
      <c r="F54" s="155" t="s">
        <v>25</v>
      </c>
      <c r="G54" s="144"/>
      <c r="H54" s="144"/>
      <c r="I54" s="144">
        <f>'01 01 Pol'!G23</f>
        <v>0</v>
      </c>
      <c r="J54" s="151" t="str">
        <f>IF(I57=0,"",I54/I57*100)</f>
        <v/>
      </c>
    </row>
    <row r="55" spans="1:10" ht="25.5" customHeight="1" x14ac:dyDescent="0.2">
      <c r="A55" s="136"/>
      <c r="B55" s="138" t="s">
        <v>63</v>
      </c>
      <c r="C55" s="241" t="s">
        <v>64</v>
      </c>
      <c r="D55" s="242"/>
      <c r="E55" s="242"/>
      <c r="F55" s="155" t="s">
        <v>25</v>
      </c>
      <c r="G55" s="144"/>
      <c r="H55" s="144"/>
      <c r="I55" s="144">
        <f>'01 01 Pol'!G31</f>
        <v>0</v>
      </c>
      <c r="J55" s="151" t="str">
        <f>IF(I57=0,"",I55/I57*100)</f>
        <v/>
      </c>
    </row>
    <row r="56" spans="1:10" ht="25.5" customHeight="1" x14ac:dyDescent="0.2">
      <c r="A56" s="136"/>
      <c r="B56" s="148" t="s">
        <v>65</v>
      </c>
      <c r="C56" s="228" t="s">
        <v>66</v>
      </c>
      <c r="D56" s="229"/>
      <c r="E56" s="229"/>
      <c r="F56" s="156" t="s">
        <v>25</v>
      </c>
      <c r="G56" s="149"/>
      <c r="H56" s="149"/>
      <c r="I56" s="149">
        <f>'01 01 Pol'!G57</f>
        <v>0</v>
      </c>
      <c r="J56" s="152" t="str">
        <f>IF(I57=0,"",I56/I57*100)</f>
        <v/>
      </c>
    </row>
    <row r="57" spans="1:10" ht="25.5" customHeight="1" x14ac:dyDescent="0.2">
      <c r="A57" s="137"/>
      <c r="B57" s="141" t="s">
        <v>1</v>
      </c>
      <c r="C57" s="141"/>
      <c r="D57" s="142"/>
      <c r="E57" s="142"/>
      <c r="F57" s="145"/>
      <c r="G57" s="145"/>
      <c r="H57" s="145"/>
      <c r="I57" s="145">
        <f>SUM(I49:I56)</f>
        <v>0</v>
      </c>
      <c r="J57" s="153">
        <f>SUM(J49:J56)</f>
        <v>0</v>
      </c>
    </row>
    <row r="58" spans="1:10" x14ac:dyDescent="0.2">
      <c r="F58" s="100"/>
      <c r="G58" s="101"/>
      <c r="H58" s="100"/>
      <c r="I58" s="101"/>
      <c r="J58" s="102"/>
    </row>
    <row r="59" spans="1:10" x14ac:dyDescent="0.2">
      <c r="F59" s="100"/>
      <c r="G59" s="101"/>
      <c r="H59" s="100"/>
      <c r="I59" s="101"/>
      <c r="J59" s="102"/>
    </row>
    <row r="60" spans="1:10" x14ac:dyDescent="0.2">
      <c r="F60" s="100"/>
      <c r="G60" s="101"/>
      <c r="H60" s="100"/>
      <c r="I60" s="101"/>
      <c r="J60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in="1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80" t="s">
        <v>7</v>
      </c>
      <c r="B2" s="79"/>
      <c r="C2" s="245"/>
      <c r="D2" s="245"/>
      <c r="E2" s="245"/>
      <c r="F2" s="245"/>
      <c r="G2" s="246"/>
    </row>
    <row r="3" spans="1:7" ht="24.95" customHeight="1" x14ac:dyDescent="0.2">
      <c r="A3" s="80" t="s">
        <v>8</v>
      </c>
      <c r="B3" s="79"/>
      <c r="C3" s="245"/>
      <c r="D3" s="245"/>
      <c r="E3" s="245"/>
      <c r="F3" s="245"/>
      <c r="G3" s="246"/>
    </row>
    <row r="4" spans="1:7" ht="24.95" customHeight="1" x14ac:dyDescent="0.2">
      <c r="A4" s="80" t="s">
        <v>9</v>
      </c>
      <c r="B4" s="79"/>
      <c r="C4" s="245"/>
      <c r="D4" s="245"/>
      <c r="E4" s="245"/>
      <c r="F4" s="245"/>
      <c r="G4" s="24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61"/>
  <sheetViews>
    <sheetView workbookViewId="0">
      <selection activeCell="AD9" sqref="AD9"/>
    </sheetView>
  </sheetViews>
  <sheetFormatPr defaultRowHeight="12.75" outlineLevelRow="1" x14ac:dyDescent="0.2"/>
  <cols>
    <col min="1" max="1" width="4.28515625" customWidth="1"/>
    <col min="2" max="2" width="14.42578125" style="99" customWidth="1"/>
    <col min="3" max="3" width="38.28515625" style="99" customWidth="1"/>
    <col min="4" max="4" width="4.5703125" style="158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4" max="27" width="0" hidden="1" customWidth="1"/>
    <col min="29" max="29" width="0" hidden="1" customWidth="1"/>
    <col min="31" max="40" width="0" hidden="1" customWidth="1"/>
    <col min="41" max="41" width="5.85546875" hidden="1" customWidth="1"/>
    <col min="44" max="44" width="0" hidden="1" customWidth="1"/>
  </cols>
  <sheetData>
    <row r="1" spans="1:60" ht="15.75" customHeight="1" x14ac:dyDescent="0.25">
      <c r="A1" s="247" t="s">
        <v>197</v>
      </c>
      <c r="B1" s="247"/>
      <c r="C1" s="247"/>
      <c r="D1" s="247"/>
      <c r="E1" s="247"/>
      <c r="F1" s="247"/>
      <c r="G1" s="247"/>
      <c r="AG1" t="s">
        <v>69</v>
      </c>
    </row>
    <row r="2" spans="1:60" ht="24.95" customHeight="1" x14ac:dyDescent="0.2">
      <c r="A2" s="159" t="s">
        <v>7</v>
      </c>
      <c r="B2" s="79" t="s">
        <v>134</v>
      </c>
      <c r="C2" s="248" t="s">
        <v>133</v>
      </c>
      <c r="D2" s="249"/>
      <c r="E2" s="249"/>
      <c r="F2" s="249"/>
      <c r="G2" s="250"/>
      <c r="AG2" t="s">
        <v>70</v>
      </c>
    </row>
    <row r="3" spans="1:60" ht="24.95" customHeight="1" x14ac:dyDescent="0.2">
      <c r="A3" s="159" t="s">
        <v>8</v>
      </c>
      <c r="B3" s="79" t="s">
        <v>42</v>
      </c>
      <c r="C3" s="248" t="s">
        <v>132</v>
      </c>
      <c r="D3" s="249"/>
      <c r="E3" s="249"/>
      <c r="F3" s="249"/>
      <c r="G3" s="250"/>
      <c r="AC3" s="99" t="s">
        <v>70</v>
      </c>
      <c r="AG3" t="s">
        <v>71</v>
      </c>
    </row>
    <row r="4" spans="1:60" ht="24.95" customHeight="1" x14ac:dyDescent="0.2">
      <c r="A4" s="160" t="s">
        <v>9</v>
      </c>
      <c r="B4" s="161" t="s">
        <v>53</v>
      </c>
      <c r="C4" s="251" t="s">
        <v>43</v>
      </c>
      <c r="D4" s="252"/>
      <c r="E4" s="252"/>
      <c r="F4" s="252"/>
      <c r="G4" s="253"/>
      <c r="AG4" t="s">
        <v>72</v>
      </c>
    </row>
    <row r="6" spans="1:60" ht="38.25" x14ac:dyDescent="0.2">
      <c r="A6" s="167" t="s">
        <v>73</v>
      </c>
      <c r="B6" s="165" t="s">
        <v>74</v>
      </c>
      <c r="C6" s="165" t="s">
        <v>75</v>
      </c>
      <c r="D6" s="166" t="s">
        <v>76</v>
      </c>
      <c r="E6" s="167" t="s">
        <v>77</v>
      </c>
      <c r="F6" s="162" t="s">
        <v>78</v>
      </c>
      <c r="G6" s="167" t="s">
        <v>30</v>
      </c>
      <c r="H6" s="168" t="s">
        <v>31</v>
      </c>
      <c r="I6" s="168" t="s">
        <v>79</v>
      </c>
      <c r="J6" s="168" t="s">
        <v>32</v>
      </c>
      <c r="K6" s="168" t="s">
        <v>80</v>
      </c>
      <c r="L6" s="168" t="s">
        <v>81</v>
      </c>
      <c r="M6" s="168" t="s">
        <v>82</v>
      </c>
      <c r="N6" s="168" t="s">
        <v>83</v>
      </c>
      <c r="O6" s="168" t="s">
        <v>84</v>
      </c>
      <c r="P6" s="168" t="s">
        <v>85</v>
      </c>
      <c r="Q6" s="168" t="s">
        <v>86</v>
      </c>
      <c r="R6" s="168" t="s">
        <v>87</v>
      </c>
      <c r="S6" s="168" t="s">
        <v>88</v>
      </c>
      <c r="T6" s="168" t="s">
        <v>89</v>
      </c>
      <c r="U6" s="168" t="s">
        <v>90</v>
      </c>
      <c r="V6" s="168" t="s">
        <v>91</v>
      </c>
    </row>
    <row r="7" spans="1:60" x14ac:dyDescent="0.2">
      <c r="A7" s="169" t="s">
        <v>92</v>
      </c>
      <c r="B7" s="171" t="s">
        <v>42</v>
      </c>
      <c r="C7" s="172" t="s">
        <v>52</v>
      </c>
      <c r="D7" s="173"/>
      <c r="E7" s="178"/>
      <c r="F7" s="181"/>
      <c r="G7" s="181">
        <f>SUM(G8)</f>
        <v>0</v>
      </c>
      <c r="H7" s="181"/>
      <c r="I7" s="181">
        <f>SUM(I8:I8)</f>
        <v>220142.8</v>
      </c>
      <c r="J7" s="181"/>
      <c r="K7" s="181">
        <f>SUM(K8:K8)</f>
        <v>0</v>
      </c>
      <c r="L7" s="181"/>
      <c r="M7" s="181">
        <f>SUM(M8:M8)</f>
        <v>0</v>
      </c>
      <c r="N7" s="181"/>
      <c r="O7" s="181">
        <f>SUM(O8:O8)</f>
        <v>0</v>
      </c>
      <c r="P7" s="181"/>
      <c r="Q7" s="181">
        <f>SUM(Q8:Q8)</f>
        <v>0</v>
      </c>
      <c r="R7" s="181"/>
      <c r="S7" s="181"/>
      <c r="T7" s="181"/>
      <c r="U7" s="182">
        <f>SUM(U8:U8)</f>
        <v>0</v>
      </c>
      <c r="V7" s="181"/>
      <c r="AG7" t="s">
        <v>93</v>
      </c>
    </row>
    <row r="8" spans="1:60" ht="34.5" customHeight="1" outlineLevel="1" x14ac:dyDescent="0.2">
      <c r="A8" s="164">
        <v>1</v>
      </c>
      <c r="B8" s="174" t="s">
        <v>94</v>
      </c>
      <c r="C8" s="193" t="s">
        <v>168</v>
      </c>
      <c r="D8" s="176" t="s">
        <v>98</v>
      </c>
      <c r="E8" s="179">
        <v>1</v>
      </c>
      <c r="F8" s="183">
        <v>0</v>
      </c>
      <c r="G8" s="183">
        <f>F8*E8</f>
        <v>0</v>
      </c>
      <c r="H8" s="183">
        <v>220142.8</v>
      </c>
      <c r="I8" s="183">
        <f>ROUND(E8*H8,2)</f>
        <v>220142.8</v>
      </c>
      <c r="J8" s="183">
        <v>0</v>
      </c>
      <c r="K8" s="183">
        <f>ROUND(E8*J8,2)</f>
        <v>0</v>
      </c>
      <c r="L8" s="183">
        <v>21</v>
      </c>
      <c r="M8" s="183">
        <f>G8*(1+L8/100)</f>
        <v>0</v>
      </c>
      <c r="N8" s="183">
        <v>0</v>
      </c>
      <c r="O8" s="183">
        <f>ROUND(E8*N8,2)</f>
        <v>0</v>
      </c>
      <c r="P8" s="183">
        <v>0</v>
      </c>
      <c r="Q8" s="183">
        <f>ROUND(E8*P8,2)</f>
        <v>0</v>
      </c>
      <c r="R8" s="183"/>
      <c r="S8" s="183" t="s">
        <v>95</v>
      </c>
      <c r="T8" s="183">
        <v>0</v>
      </c>
      <c r="U8" s="184">
        <f>ROUND(E8*T8,2)</f>
        <v>0</v>
      </c>
      <c r="V8" s="18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 t="s">
        <v>96</v>
      </c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</row>
    <row r="9" spans="1:60" x14ac:dyDescent="0.2">
      <c r="A9" s="170" t="s">
        <v>92</v>
      </c>
      <c r="B9" s="175" t="s">
        <v>53</v>
      </c>
      <c r="C9" s="194" t="s">
        <v>54</v>
      </c>
      <c r="D9" s="177"/>
      <c r="E9" s="180"/>
      <c r="F9" s="185"/>
      <c r="G9" s="185">
        <f>SUM(G10:G12)</f>
        <v>0</v>
      </c>
      <c r="H9" s="185"/>
      <c r="I9" s="185">
        <f>SUM(I10:I12)</f>
        <v>3183</v>
      </c>
      <c r="J9" s="185"/>
      <c r="K9" s="185">
        <f>SUM(K10:K12)</f>
        <v>0</v>
      </c>
      <c r="L9" s="185"/>
      <c r="M9" s="185">
        <f>SUM(M10:M12)</f>
        <v>0</v>
      </c>
      <c r="N9" s="185"/>
      <c r="O9" s="185">
        <f>SUM(O10:O12)</f>
        <v>0</v>
      </c>
      <c r="P9" s="185"/>
      <c r="Q9" s="185">
        <f>SUM(Q10:Q12)</f>
        <v>0</v>
      </c>
      <c r="R9" s="185"/>
      <c r="S9" s="185"/>
      <c r="T9" s="185"/>
      <c r="U9" s="186">
        <f>SUM(U10:U12)</f>
        <v>0</v>
      </c>
      <c r="V9" s="185"/>
      <c r="AG9" t="s">
        <v>93</v>
      </c>
    </row>
    <row r="10" spans="1:60" outlineLevel="1" x14ac:dyDescent="0.2">
      <c r="A10" s="164">
        <v>2</v>
      </c>
      <c r="B10" s="174" t="s">
        <v>97</v>
      </c>
      <c r="C10" s="193" t="s">
        <v>136</v>
      </c>
      <c r="D10" s="176" t="s">
        <v>98</v>
      </c>
      <c r="E10" s="179">
        <v>1</v>
      </c>
      <c r="F10" s="183">
        <v>0</v>
      </c>
      <c r="G10" s="183">
        <f>F10*E10</f>
        <v>0</v>
      </c>
      <c r="H10" s="183">
        <v>139</v>
      </c>
      <c r="I10" s="183">
        <f>ROUND(E10*H10,2)</f>
        <v>139</v>
      </c>
      <c r="J10" s="183">
        <v>0</v>
      </c>
      <c r="K10" s="183">
        <f>ROUND(E10*J10,2)</f>
        <v>0</v>
      </c>
      <c r="L10" s="183">
        <v>21</v>
      </c>
      <c r="M10" s="183">
        <f>G10*(1+L10/100)</f>
        <v>0</v>
      </c>
      <c r="N10" s="183">
        <v>0</v>
      </c>
      <c r="O10" s="183">
        <f>ROUND(E10*N10,2)</f>
        <v>0</v>
      </c>
      <c r="P10" s="183">
        <v>0</v>
      </c>
      <c r="Q10" s="183">
        <f>ROUND(E10*P10,2)</f>
        <v>0</v>
      </c>
      <c r="R10" s="183"/>
      <c r="S10" s="183" t="s">
        <v>95</v>
      </c>
      <c r="T10" s="183">
        <v>0</v>
      </c>
      <c r="U10" s="184">
        <f>ROUND(E10*T10,2)</f>
        <v>0</v>
      </c>
      <c r="V10" s="18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 t="s">
        <v>96</v>
      </c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">
      <c r="A11" s="164">
        <v>3</v>
      </c>
      <c r="B11" s="174" t="s">
        <v>176</v>
      </c>
      <c r="C11" s="193" t="s">
        <v>169</v>
      </c>
      <c r="D11" s="176" t="s">
        <v>98</v>
      </c>
      <c r="E11" s="179">
        <v>1</v>
      </c>
      <c r="F11" s="183">
        <v>0</v>
      </c>
      <c r="G11" s="183">
        <f>F11*E11</f>
        <v>0</v>
      </c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4"/>
      <c r="V11" s="18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">
      <c r="A12" s="164">
        <v>4</v>
      </c>
      <c r="B12" s="174" t="s">
        <v>99</v>
      </c>
      <c r="C12" s="193" t="s">
        <v>171</v>
      </c>
      <c r="D12" s="176" t="s">
        <v>98</v>
      </c>
      <c r="E12" s="179">
        <v>2</v>
      </c>
      <c r="F12" s="183">
        <v>0</v>
      </c>
      <c r="G12" s="183">
        <f>F12*E12</f>
        <v>0</v>
      </c>
      <c r="H12" s="183">
        <v>1522</v>
      </c>
      <c r="I12" s="183">
        <f>ROUND(E12*H12,2)</f>
        <v>3044</v>
      </c>
      <c r="J12" s="183">
        <v>0</v>
      </c>
      <c r="K12" s="183">
        <f>ROUND(E12*J12,2)</f>
        <v>0</v>
      </c>
      <c r="L12" s="183">
        <v>21</v>
      </c>
      <c r="M12" s="183">
        <f>G12*(1+L12/100)</f>
        <v>0</v>
      </c>
      <c r="N12" s="183">
        <v>0</v>
      </c>
      <c r="O12" s="183">
        <f>ROUND(E12*N12,2)</f>
        <v>0</v>
      </c>
      <c r="P12" s="183">
        <v>0</v>
      </c>
      <c r="Q12" s="183">
        <f>ROUND(E12*P12,2)</f>
        <v>0</v>
      </c>
      <c r="R12" s="183"/>
      <c r="S12" s="183" t="s">
        <v>95</v>
      </c>
      <c r="T12" s="183">
        <v>0</v>
      </c>
      <c r="U12" s="184">
        <f>ROUND(E12*T12,2)</f>
        <v>0</v>
      </c>
      <c r="V12" s="18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 t="s">
        <v>96</v>
      </c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x14ac:dyDescent="0.2">
      <c r="A13" s="170" t="s">
        <v>92</v>
      </c>
      <c r="B13" s="175" t="s">
        <v>55</v>
      </c>
      <c r="C13" s="194" t="s">
        <v>56</v>
      </c>
      <c r="D13" s="177"/>
      <c r="E13" s="180"/>
      <c r="F13" s="185"/>
      <c r="G13" s="185">
        <f>SUM(G14)</f>
        <v>0</v>
      </c>
      <c r="H13" s="185"/>
      <c r="I13" s="185">
        <f>SUM(I14:I14)</f>
        <v>5810</v>
      </c>
      <c r="J13" s="185"/>
      <c r="K13" s="185">
        <f>SUM(K14:K14)</f>
        <v>0</v>
      </c>
      <c r="L13" s="185"/>
      <c r="M13" s="185">
        <f>SUM(M14:M14)</f>
        <v>0</v>
      </c>
      <c r="N13" s="185"/>
      <c r="O13" s="185">
        <f>SUM(O14:O14)</f>
        <v>0</v>
      </c>
      <c r="P13" s="185"/>
      <c r="Q13" s="185">
        <f>SUM(Q14:Q14)</f>
        <v>0</v>
      </c>
      <c r="R13" s="185"/>
      <c r="S13" s="185"/>
      <c r="T13" s="185"/>
      <c r="U13" s="186">
        <f>SUM(U14:U14)</f>
        <v>0</v>
      </c>
      <c r="V13" s="185"/>
      <c r="W13" s="163"/>
      <c r="AG13" t="s">
        <v>93</v>
      </c>
    </row>
    <row r="14" spans="1:60" outlineLevel="1" x14ac:dyDescent="0.2">
      <c r="A14" s="164">
        <v>5</v>
      </c>
      <c r="B14" s="174" t="s">
        <v>100</v>
      </c>
      <c r="C14" s="193" t="s">
        <v>135</v>
      </c>
      <c r="D14" s="176" t="s">
        <v>98</v>
      </c>
      <c r="E14" s="179">
        <v>1</v>
      </c>
      <c r="F14" s="183">
        <v>0</v>
      </c>
      <c r="G14" s="183">
        <f>F14*E14</f>
        <v>0</v>
      </c>
      <c r="H14" s="183">
        <v>5810</v>
      </c>
      <c r="I14" s="183">
        <f>ROUND(E14*H14,2)</f>
        <v>5810</v>
      </c>
      <c r="J14" s="183">
        <v>0</v>
      </c>
      <c r="K14" s="183">
        <f>ROUND(E14*J14,2)</f>
        <v>0</v>
      </c>
      <c r="L14" s="183">
        <v>21</v>
      </c>
      <c r="M14" s="183">
        <f>G14*(1+L14/100)</f>
        <v>0</v>
      </c>
      <c r="N14" s="183">
        <v>0</v>
      </c>
      <c r="O14" s="183">
        <f>ROUND(E14*N14,2)</f>
        <v>0</v>
      </c>
      <c r="P14" s="183">
        <v>0</v>
      </c>
      <c r="Q14" s="183">
        <f>ROUND(E14*P14,2)</f>
        <v>0</v>
      </c>
      <c r="R14" s="183"/>
      <c r="S14" s="183" t="s">
        <v>95</v>
      </c>
      <c r="T14" s="183">
        <v>0</v>
      </c>
      <c r="U14" s="184">
        <f>ROUND(E14*T14,2)</f>
        <v>0</v>
      </c>
      <c r="V14" s="18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 t="s">
        <v>96</v>
      </c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x14ac:dyDescent="0.2">
      <c r="A15" s="170" t="s">
        <v>92</v>
      </c>
      <c r="B15" s="175" t="s">
        <v>59</v>
      </c>
      <c r="C15" s="194" t="s">
        <v>60</v>
      </c>
      <c r="D15" s="177"/>
      <c r="E15" s="180"/>
      <c r="F15" s="185"/>
      <c r="G15" s="185">
        <f>SUM(G16:G22)</f>
        <v>0</v>
      </c>
      <c r="H15" s="185"/>
      <c r="I15" s="185">
        <f>SUM(I18:I18)</f>
        <v>196</v>
      </c>
      <c r="J15" s="185"/>
      <c r="K15" s="185">
        <f>SUM(K18:K18)</f>
        <v>0</v>
      </c>
      <c r="L15" s="185"/>
      <c r="M15" s="185">
        <f>SUM(M18:M18)</f>
        <v>0</v>
      </c>
      <c r="N15" s="185"/>
      <c r="O15" s="185">
        <f>SUM(O18:O18)</f>
        <v>0</v>
      </c>
      <c r="P15" s="185"/>
      <c r="Q15" s="185">
        <f>SUM(Q18:Q18)</f>
        <v>0</v>
      </c>
      <c r="R15" s="185"/>
      <c r="S15" s="185"/>
      <c r="T15" s="185"/>
      <c r="U15" s="186">
        <f>SUM(U18:U18)</f>
        <v>0</v>
      </c>
      <c r="V15" s="185"/>
      <c r="W15" s="163"/>
      <c r="X15" s="201"/>
      <c r="Y15" s="201"/>
      <c r="Z15" s="201"/>
      <c r="AG15" t="s">
        <v>93</v>
      </c>
    </row>
    <row r="16" spans="1:60" x14ac:dyDescent="0.2">
      <c r="A16" s="164">
        <v>6</v>
      </c>
      <c r="B16" s="174" t="s">
        <v>110</v>
      </c>
      <c r="C16" s="193" t="s">
        <v>137</v>
      </c>
      <c r="D16" s="176" t="s">
        <v>98</v>
      </c>
      <c r="E16" s="179">
        <v>2</v>
      </c>
      <c r="F16" s="183">
        <v>0</v>
      </c>
      <c r="G16" s="183">
        <f>F16*E16</f>
        <v>0</v>
      </c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9"/>
      <c r="V16" s="198"/>
      <c r="X16" s="201"/>
      <c r="Y16" s="201"/>
      <c r="Z16" s="201"/>
    </row>
    <row r="17" spans="1:60" ht="22.5" x14ac:dyDescent="0.2">
      <c r="A17" s="164">
        <v>7</v>
      </c>
      <c r="B17" s="174" t="s">
        <v>125</v>
      </c>
      <c r="C17" s="193" t="s">
        <v>138</v>
      </c>
      <c r="D17" s="176" t="s">
        <v>98</v>
      </c>
      <c r="E17" s="179">
        <v>1</v>
      </c>
      <c r="F17" s="183">
        <v>0</v>
      </c>
      <c r="G17" s="183">
        <f t="shared" ref="G17:G22" si="0">F17*E17</f>
        <v>0</v>
      </c>
      <c r="H17" s="198"/>
      <c r="I17" s="198"/>
      <c r="J17" s="198"/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9"/>
      <c r="V17" s="198"/>
      <c r="X17" s="201"/>
      <c r="Y17" s="201"/>
      <c r="Z17" s="201"/>
    </row>
    <row r="18" spans="1:60" ht="22.5" outlineLevel="1" x14ac:dyDescent="0.2">
      <c r="A18" s="164">
        <v>8</v>
      </c>
      <c r="B18" s="174" t="s">
        <v>126</v>
      </c>
      <c r="C18" s="193" t="s">
        <v>139</v>
      </c>
      <c r="D18" s="176" t="s">
        <v>98</v>
      </c>
      <c r="E18" s="179">
        <v>1</v>
      </c>
      <c r="F18" s="183">
        <v>0</v>
      </c>
      <c r="G18" s="183">
        <f t="shared" si="0"/>
        <v>0</v>
      </c>
      <c r="H18" s="183">
        <v>196</v>
      </c>
      <c r="I18" s="183">
        <f>ROUND(E18*H18,2)</f>
        <v>196</v>
      </c>
      <c r="J18" s="183">
        <v>0</v>
      </c>
      <c r="K18" s="183">
        <f>ROUND(E18*J18,2)</f>
        <v>0</v>
      </c>
      <c r="L18" s="183">
        <v>21</v>
      </c>
      <c r="M18" s="183">
        <f>G18*(1+L18/100)</f>
        <v>0</v>
      </c>
      <c r="N18" s="183">
        <v>0</v>
      </c>
      <c r="O18" s="183">
        <f>ROUND(E18*N18,2)</f>
        <v>0</v>
      </c>
      <c r="P18" s="183">
        <v>0</v>
      </c>
      <c r="Q18" s="183">
        <f>ROUND(E18*P18,2)</f>
        <v>0</v>
      </c>
      <c r="R18" s="183"/>
      <c r="S18" s="183" t="s">
        <v>95</v>
      </c>
      <c r="T18" s="183">
        <v>0</v>
      </c>
      <c r="U18" s="184">
        <f>ROUND(E18*T18,2)</f>
        <v>0</v>
      </c>
      <c r="V18" s="183"/>
      <c r="W18" s="163"/>
      <c r="X18" s="163"/>
      <c r="Y18" s="163"/>
      <c r="Z18" s="163"/>
      <c r="AA18" s="163"/>
      <c r="AB18" s="163"/>
      <c r="AC18" s="163"/>
      <c r="AD18" s="163"/>
      <c r="AE18" s="163"/>
      <c r="AF18" s="163"/>
      <c r="AG18" s="163" t="s">
        <v>96</v>
      </c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ht="22.5" outlineLevel="1" x14ac:dyDescent="0.2">
      <c r="A19" s="164">
        <v>9</v>
      </c>
      <c r="B19" s="174" t="s">
        <v>127</v>
      </c>
      <c r="C19" s="193" t="s">
        <v>140</v>
      </c>
      <c r="D19" s="176" t="s">
        <v>98</v>
      </c>
      <c r="E19" s="179">
        <v>1</v>
      </c>
      <c r="F19" s="183">
        <v>0</v>
      </c>
      <c r="G19" s="183">
        <f t="shared" si="0"/>
        <v>0</v>
      </c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4"/>
      <c r="V19" s="18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ht="22.5" outlineLevel="1" x14ac:dyDescent="0.2">
      <c r="A20" s="164">
        <v>10</v>
      </c>
      <c r="B20" s="174" t="s">
        <v>128</v>
      </c>
      <c r="C20" s="193" t="s">
        <v>141</v>
      </c>
      <c r="D20" s="176" t="s">
        <v>98</v>
      </c>
      <c r="E20" s="179">
        <v>1</v>
      </c>
      <c r="F20" s="183">
        <v>0</v>
      </c>
      <c r="G20" s="183">
        <f t="shared" si="0"/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4"/>
      <c r="V20" s="18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ht="22.5" outlineLevel="1" x14ac:dyDescent="0.2">
      <c r="A21" s="164">
        <v>11</v>
      </c>
      <c r="B21" s="174" t="s">
        <v>129</v>
      </c>
      <c r="C21" s="193" t="s">
        <v>142</v>
      </c>
      <c r="D21" s="176" t="s">
        <v>98</v>
      </c>
      <c r="E21" s="179">
        <v>1</v>
      </c>
      <c r="F21" s="183">
        <v>0</v>
      </c>
      <c r="G21" s="183">
        <f t="shared" si="0"/>
        <v>0</v>
      </c>
      <c r="H21" s="183"/>
      <c r="I21" s="183"/>
      <c r="J21" s="183"/>
      <c r="K21" s="183"/>
      <c r="L21" s="183"/>
      <c r="M21" s="183"/>
      <c r="N21" s="183"/>
      <c r="O21" s="183"/>
      <c r="P21" s="183"/>
      <c r="Q21" s="183"/>
      <c r="R21" s="183"/>
      <c r="S21" s="183"/>
      <c r="T21" s="183"/>
      <c r="U21" s="184"/>
      <c r="V21" s="183"/>
      <c r="W21" s="163"/>
      <c r="X21" s="163"/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ht="22.5" outlineLevel="1" x14ac:dyDescent="0.2">
      <c r="A22" s="164">
        <v>12</v>
      </c>
      <c r="B22" s="174" t="s">
        <v>130</v>
      </c>
      <c r="C22" s="193" t="s">
        <v>143</v>
      </c>
      <c r="D22" s="176" t="s">
        <v>98</v>
      </c>
      <c r="E22" s="179">
        <v>2</v>
      </c>
      <c r="F22" s="183">
        <v>0</v>
      </c>
      <c r="G22" s="183">
        <f t="shared" si="0"/>
        <v>0</v>
      </c>
      <c r="H22" s="183"/>
      <c r="I22" s="183"/>
      <c r="J22" s="183"/>
      <c r="K22" s="183"/>
      <c r="L22" s="183"/>
      <c r="M22" s="183"/>
      <c r="N22" s="183"/>
      <c r="O22" s="183"/>
      <c r="P22" s="183"/>
      <c r="Q22" s="183"/>
      <c r="R22" s="183"/>
      <c r="S22" s="183"/>
      <c r="T22" s="183"/>
      <c r="U22" s="184"/>
      <c r="V22" s="18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x14ac:dyDescent="0.2">
      <c r="A23" s="170" t="s">
        <v>92</v>
      </c>
      <c r="B23" s="175" t="s">
        <v>61</v>
      </c>
      <c r="C23" s="194" t="s">
        <v>62</v>
      </c>
      <c r="D23" s="177"/>
      <c r="E23" s="180"/>
      <c r="F23" s="185"/>
      <c r="G23" s="185">
        <f>SUM(G24:G30)</f>
        <v>0</v>
      </c>
      <c r="H23" s="185"/>
      <c r="I23" s="185">
        <f>SUM(I24:I30)</f>
        <v>2051</v>
      </c>
      <c r="J23" s="185"/>
      <c r="K23" s="185">
        <f>SUM(K24:K30)</f>
        <v>0</v>
      </c>
      <c r="L23" s="185"/>
      <c r="M23" s="185">
        <f>SUM(M24:M30)</f>
        <v>0</v>
      </c>
      <c r="N23" s="185"/>
      <c r="O23" s="185">
        <f>SUM(O24:O30)</f>
        <v>0</v>
      </c>
      <c r="P23" s="185"/>
      <c r="Q23" s="185">
        <f>SUM(Q24:Q30)</f>
        <v>0</v>
      </c>
      <c r="R23" s="185"/>
      <c r="S23" s="185"/>
      <c r="T23" s="185"/>
      <c r="U23" s="186">
        <f>SUM(U24:U30)</f>
        <v>0</v>
      </c>
      <c r="V23" s="185"/>
      <c r="W23" s="163"/>
      <c r="AG23" t="s">
        <v>93</v>
      </c>
    </row>
    <row r="24" spans="1:60" ht="22.5" outlineLevel="1" x14ac:dyDescent="0.2">
      <c r="A24" s="164">
        <v>13</v>
      </c>
      <c r="B24" s="174" t="s">
        <v>111</v>
      </c>
      <c r="C24" s="193" t="s">
        <v>112</v>
      </c>
      <c r="D24" s="176" t="s">
        <v>98</v>
      </c>
      <c r="E24" s="179">
        <v>1</v>
      </c>
      <c r="F24" s="183">
        <v>0</v>
      </c>
      <c r="G24" s="183">
        <f>F24*E24</f>
        <v>0</v>
      </c>
      <c r="H24" s="183">
        <v>492</v>
      </c>
      <c r="I24" s="183">
        <f>ROUND(E24*H24,2)</f>
        <v>492</v>
      </c>
      <c r="J24" s="183">
        <v>0</v>
      </c>
      <c r="K24" s="183">
        <f>ROUND(E24*J24,2)</f>
        <v>0</v>
      </c>
      <c r="L24" s="183">
        <v>21</v>
      </c>
      <c r="M24" s="183">
        <f>G24*(1+L24/100)</f>
        <v>0</v>
      </c>
      <c r="N24" s="183">
        <v>0</v>
      </c>
      <c r="O24" s="183">
        <f>ROUND(E24*N24,2)</f>
        <v>0</v>
      </c>
      <c r="P24" s="183">
        <v>0</v>
      </c>
      <c r="Q24" s="183">
        <f>ROUND(E24*P24,2)</f>
        <v>0</v>
      </c>
      <c r="R24" s="183"/>
      <c r="S24" s="183" t="s">
        <v>95</v>
      </c>
      <c r="T24" s="183">
        <v>0</v>
      </c>
      <c r="U24" s="184">
        <f>ROUND(E24*T24,2)</f>
        <v>0</v>
      </c>
      <c r="V24" s="18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 t="s">
        <v>96</v>
      </c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ht="22.5" outlineLevel="1" x14ac:dyDescent="0.2">
      <c r="A25" s="164">
        <v>14</v>
      </c>
      <c r="B25" s="174" t="s">
        <v>177</v>
      </c>
      <c r="C25" s="193" t="s">
        <v>147</v>
      </c>
      <c r="D25" s="176" t="s">
        <v>98</v>
      </c>
      <c r="E25" s="179">
        <v>2</v>
      </c>
      <c r="F25" s="183">
        <v>0</v>
      </c>
      <c r="G25" s="183">
        <f t="shared" ref="G25:G30" si="1">F25*E25</f>
        <v>0</v>
      </c>
      <c r="H25" s="183">
        <v>541</v>
      </c>
      <c r="I25" s="183">
        <f>ROUND(E25*H25,2)</f>
        <v>1082</v>
      </c>
      <c r="J25" s="183">
        <v>0</v>
      </c>
      <c r="K25" s="183">
        <f>ROUND(E25*J25,2)</f>
        <v>0</v>
      </c>
      <c r="L25" s="183">
        <v>21</v>
      </c>
      <c r="M25" s="183">
        <f>G25*(1+L25/100)</f>
        <v>0</v>
      </c>
      <c r="N25" s="183">
        <v>0</v>
      </c>
      <c r="O25" s="183">
        <f>ROUND(E25*N25,2)</f>
        <v>0</v>
      </c>
      <c r="P25" s="183">
        <v>0</v>
      </c>
      <c r="Q25" s="183">
        <f>ROUND(E25*P25,2)</f>
        <v>0</v>
      </c>
      <c r="R25" s="183"/>
      <c r="S25" s="183" t="s">
        <v>95</v>
      </c>
      <c r="T25" s="183">
        <v>0</v>
      </c>
      <c r="U25" s="184">
        <f>ROUND(E25*T25,2)</f>
        <v>0</v>
      </c>
      <c r="V25" s="18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 t="s">
        <v>96</v>
      </c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ht="22.5" outlineLevel="1" x14ac:dyDescent="0.2">
      <c r="A26" s="164">
        <v>15</v>
      </c>
      <c r="B26" s="174" t="s">
        <v>178</v>
      </c>
      <c r="C26" s="193" t="s">
        <v>148</v>
      </c>
      <c r="D26" s="176" t="s">
        <v>98</v>
      </c>
      <c r="E26" s="179">
        <v>2</v>
      </c>
      <c r="F26" s="183">
        <v>0</v>
      </c>
      <c r="G26" s="183">
        <f t="shared" si="1"/>
        <v>0</v>
      </c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4"/>
      <c r="V26" s="18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ht="22.5" outlineLevel="1" x14ac:dyDescent="0.2">
      <c r="A27" s="164">
        <v>16</v>
      </c>
      <c r="B27" s="174" t="s">
        <v>179</v>
      </c>
      <c r="C27" s="193" t="s">
        <v>115</v>
      </c>
      <c r="D27" s="176" t="s">
        <v>98</v>
      </c>
      <c r="E27" s="179">
        <v>4</v>
      </c>
      <c r="F27" s="183">
        <v>0</v>
      </c>
      <c r="G27" s="183">
        <f>F27*E27</f>
        <v>0</v>
      </c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4"/>
      <c r="V27" s="18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ht="22.5" outlineLevel="1" x14ac:dyDescent="0.2">
      <c r="A28" s="164">
        <v>17</v>
      </c>
      <c r="B28" s="174" t="s">
        <v>180</v>
      </c>
      <c r="C28" s="193" t="s">
        <v>113</v>
      </c>
      <c r="D28" s="176" t="s">
        <v>98</v>
      </c>
      <c r="E28" s="179">
        <v>4</v>
      </c>
      <c r="F28" s="183">
        <v>0</v>
      </c>
      <c r="G28" s="183">
        <f>F28*E28</f>
        <v>0</v>
      </c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4"/>
      <c r="V28" s="18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">
      <c r="A29" s="164">
        <v>18</v>
      </c>
      <c r="B29" s="174" t="s">
        <v>181</v>
      </c>
      <c r="C29" s="193" t="s">
        <v>149</v>
      </c>
      <c r="D29" s="176" t="s">
        <v>98</v>
      </c>
      <c r="E29" s="179">
        <v>2</v>
      </c>
      <c r="F29" s="183">
        <v>0</v>
      </c>
      <c r="G29" s="183">
        <f t="shared" si="1"/>
        <v>0</v>
      </c>
      <c r="H29" s="183"/>
      <c r="I29" s="183"/>
      <c r="J29" s="183"/>
      <c r="K29" s="183"/>
      <c r="L29" s="183"/>
      <c r="M29" s="183"/>
      <c r="N29" s="183"/>
      <c r="O29" s="183"/>
      <c r="P29" s="183"/>
      <c r="Q29" s="183"/>
      <c r="R29" s="183"/>
      <c r="S29" s="183"/>
      <c r="T29" s="183"/>
      <c r="U29" s="184"/>
      <c r="V29" s="183"/>
      <c r="W29" s="163"/>
      <c r="X29" s="163"/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">
      <c r="A30" s="164">
        <v>19</v>
      </c>
      <c r="B30" s="174" t="s">
        <v>114</v>
      </c>
      <c r="C30" s="193" t="s">
        <v>150</v>
      </c>
      <c r="D30" s="176" t="s">
        <v>98</v>
      </c>
      <c r="E30" s="179">
        <v>1</v>
      </c>
      <c r="F30" s="183">
        <v>0</v>
      </c>
      <c r="G30" s="183">
        <f t="shared" si="1"/>
        <v>0</v>
      </c>
      <c r="H30" s="183">
        <v>477</v>
      </c>
      <c r="I30" s="183">
        <f>ROUND(E30*H30,2)</f>
        <v>477</v>
      </c>
      <c r="J30" s="183">
        <v>0</v>
      </c>
      <c r="K30" s="183">
        <f>ROUND(E30*J30,2)</f>
        <v>0</v>
      </c>
      <c r="L30" s="183">
        <v>21</v>
      </c>
      <c r="M30" s="183">
        <f>G30*(1+L30/100)</f>
        <v>0</v>
      </c>
      <c r="N30" s="183">
        <v>0</v>
      </c>
      <c r="O30" s="183">
        <f>ROUND(E30*N30,2)</f>
        <v>0</v>
      </c>
      <c r="P30" s="183">
        <v>0</v>
      </c>
      <c r="Q30" s="183">
        <f>ROUND(E30*P30,2)</f>
        <v>0</v>
      </c>
      <c r="R30" s="183"/>
      <c r="S30" s="183" t="s">
        <v>95</v>
      </c>
      <c r="T30" s="183">
        <v>0</v>
      </c>
      <c r="U30" s="184">
        <f>ROUND(E30*T30,2)</f>
        <v>0</v>
      </c>
      <c r="V30" s="183"/>
      <c r="W30" s="163"/>
      <c r="X30" s="163"/>
      <c r="Y30" s="163"/>
      <c r="Z30" s="163"/>
      <c r="AA30" s="163"/>
      <c r="AB30" s="163"/>
      <c r="AC30" s="163"/>
      <c r="AD30" s="163"/>
      <c r="AE30" s="163"/>
      <c r="AF30" s="163"/>
      <c r="AG30" s="163" t="s">
        <v>96</v>
      </c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x14ac:dyDescent="0.2">
      <c r="A31" s="170" t="s">
        <v>92</v>
      </c>
      <c r="B31" s="175" t="s">
        <v>63</v>
      </c>
      <c r="C31" s="194" t="s">
        <v>64</v>
      </c>
      <c r="D31" s="177"/>
      <c r="E31" s="180"/>
      <c r="F31" s="185"/>
      <c r="G31" s="185">
        <f>SUM(G32:G47)</f>
        <v>0</v>
      </c>
      <c r="H31" s="185"/>
      <c r="I31" s="185">
        <f>SUM(I32:I47)</f>
        <v>434.44</v>
      </c>
      <c r="J31" s="185"/>
      <c r="K31" s="185">
        <f>SUM(K32:K47)</f>
        <v>0</v>
      </c>
      <c r="L31" s="185"/>
      <c r="M31" s="185">
        <f>SUM(M32:M47)</f>
        <v>0</v>
      </c>
      <c r="N31" s="185"/>
      <c r="O31" s="185">
        <f>SUM(O32:O47)</f>
        <v>0</v>
      </c>
      <c r="P31" s="185"/>
      <c r="Q31" s="185">
        <f>SUM(Q32:Q47)</f>
        <v>0</v>
      </c>
      <c r="R31" s="185"/>
      <c r="S31" s="185"/>
      <c r="T31" s="185"/>
      <c r="U31" s="186">
        <f>SUM(U32:U47)</f>
        <v>0</v>
      </c>
      <c r="V31" s="185"/>
      <c r="W31" s="163"/>
      <c r="AG31" t="s">
        <v>93</v>
      </c>
    </row>
    <row r="32" spans="1:60" ht="22.5" outlineLevel="1" x14ac:dyDescent="0.2">
      <c r="A32" s="164">
        <v>20</v>
      </c>
      <c r="B32" s="174" t="s">
        <v>116</v>
      </c>
      <c r="C32" s="193" t="s">
        <v>172</v>
      </c>
      <c r="D32" s="176" t="s">
        <v>102</v>
      </c>
      <c r="E32" s="179">
        <v>1.75</v>
      </c>
      <c r="F32" s="183">
        <v>0</v>
      </c>
      <c r="G32" s="183">
        <f>F32*E32</f>
        <v>0</v>
      </c>
      <c r="H32" s="183">
        <v>248.25</v>
      </c>
      <c r="I32" s="183">
        <f t="shared" ref="I32" si="2">ROUND(E32*H32,2)</f>
        <v>434.44</v>
      </c>
      <c r="J32" s="183">
        <v>0</v>
      </c>
      <c r="K32" s="183">
        <f t="shared" ref="K32" si="3">ROUND(E32*J32,2)</f>
        <v>0</v>
      </c>
      <c r="L32" s="183">
        <v>21</v>
      </c>
      <c r="M32" s="183">
        <f t="shared" ref="M32" si="4">G32*(1+L32/100)</f>
        <v>0</v>
      </c>
      <c r="N32" s="183">
        <v>0</v>
      </c>
      <c r="O32" s="183">
        <f t="shared" ref="O32" si="5">ROUND(E32*N32,2)</f>
        <v>0</v>
      </c>
      <c r="P32" s="183">
        <v>0</v>
      </c>
      <c r="Q32" s="183">
        <f t="shared" ref="Q32" si="6">ROUND(E32*P32,2)</f>
        <v>0</v>
      </c>
      <c r="R32" s="183"/>
      <c r="S32" s="183" t="s">
        <v>95</v>
      </c>
      <c r="T32" s="183">
        <v>0</v>
      </c>
      <c r="U32" s="184">
        <f t="shared" ref="U32" si="7">ROUND(E32*T32,2)</f>
        <v>0</v>
      </c>
      <c r="V32" s="183"/>
      <c r="W32" s="163"/>
      <c r="X32" s="163"/>
      <c r="Y32" s="163">
        <f>(1.15+0.35)*1.15</f>
        <v>1.7249999999999999</v>
      </c>
      <c r="Z32" s="163" t="s">
        <v>153</v>
      </c>
      <c r="AA32" s="163"/>
      <c r="AB32" s="163"/>
      <c r="AC32" s="163"/>
      <c r="AD32" s="163"/>
      <c r="AE32" s="163"/>
      <c r="AF32" s="163"/>
      <c r="AG32" s="163" t="s">
        <v>96</v>
      </c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ht="22.5" outlineLevel="1" x14ac:dyDescent="0.2">
      <c r="A33" s="164">
        <v>21</v>
      </c>
      <c r="B33" s="174" t="s">
        <v>182</v>
      </c>
      <c r="C33" s="193" t="s">
        <v>154</v>
      </c>
      <c r="D33" s="176" t="s">
        <v>102</v>
      </c>
      <c r="E33" s="179">
        <v>7.1</v>
      </c>
      <c r="F33" s="183">
        <v>0</v>
      </c>
      <c r="G33" s="183">
        <f t="shared" ref="G33:G47" si="8">F33*E33</f>
        <v>0</v>
      </c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4"/>
      <c r="V33" s="183"/>
      <c r="W33" s="163"/>
      <c r="X33" s="163"/>
      <c r="Y33" s="163">
        <f>((1.04+0.5)*2+3.095)*1.15</f>
        <v>7.1012500000000003</v>
      </c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83">
        <f>(0.2+0.2+0.1+0.1)*430</f>
        <v>258</v>
      </c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ht="22.5" outlineLevel="1" x14ac:dyDescent="0.2">
      <c r="A34" s="164">
        <v>22</v>
      </c>
      <c r="B34" s="174" t="s">
        <v>183</v>
      </c>
      <c r="C34" s="193" t="s">
        <v>155</v>
      </c>
      <c r="D34" s="176" t="s">
        <v>102</v>
      </c>
      <c r="E34" s="179">
        <v>2.7</v>
      </c>
      <c r="F34" s="183">
        <v>0</v>
      </c>
      <c r="G34" s="183">
        <f t="shared" si="8"/>
        <v>0</v>
      </c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4"/>
      <c r="V34" s="183"/>
      <c r="W34" s="163"/>
      <c r="X34" s="163"/>
      <c r="Y34" s="163">
        <f>((0.65+0.5)*2)*1.15</f>
        <v>2.6449999999999996</v>
      </c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83">
        <f>(0.2+0.2+0.1+0.1)*430*3</f>
        <v>774</v>
      </c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ht="22.5" outlineLevel="1" x14ac:dyDescent="0.2">
      <c r="A35" s="164">
        <v>23</v>
      </c>
      <c r="B35" s="174" t="s">
        <v>184</v>
      </c>
      <c r="C35" s="193" t="s">
        <v>156</v>
      </c>
      <c r="D35" s="176" t="s">
        <v>102</v>
      </c>
      <c r="E35" s="179">
        <v>5.6</v>
      </c>
      <c r="F35" s="183">
        <v>0</v>
      </c>
      <c r="G35" s="183">
        <f t="shared" si="8"/>
        <v>0</v>
      </c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4"/>
      <c r="V35" s="183"/>
      <c r="W35" s="163"/>
      <c r="X35" s="163"/>
      <c r="Y35" s="179">
        <f>(0.3+2.1+2+0.4)*1.15</f>
        <v>5.5200000000000005</v>
      </c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83">
        <f>(0.2+0.2+0.16+0.16)*430*3</f>
        <v>928.80000000000007</v>
      </c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 x14ac:dyDescent="0.2">
      <c r="A36" s="164">
        <v>24</v>
      </c>
      <c r="B36" s="174" t="s">
        <v>185</v>
      </c>
      <c r="C36" s="193" t="s">
        <v>157</v>
      </c>
      <c r="D36" s="176" t="s">
        <v>102</v>
      </c>
      <c r="E36" s="179">
        <v>1.5</v>
      </c>
      <c r="F36" s="183">
        <v>0</v>
      </c>
      <c r="G36" s="183">
        <f t="shared" si="8"/>
        <v>0</v>
      </c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4"/>
      <c r="V36" s="183"/>
      <c r="W36" s="163"/>
      <c r="X36" s="163"/>
      <c r="Y36" s="179">
        <f>1.3*1.15</f>
        <v>1.4949999999999999</v>
      </c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83">
        <f>(0.2+0.2+0.2+0.2)*430</f>
        <v>344</v>
      </c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ht="22.5" outlineLevel="1" x14ac:dyDescent="0.2">
      <c r="A37" s="164">
        <v>25</v>
      </c>
      <c r="B37" s="174" t="s">
        <v>186</v>
      </c>
      <c r="C37" s="193" t="s">
        <v>158</v>
      </c>
      <c r="D37" s="176" t="s">
        <v>102</v>
      </c>
      <c r="E37" s="179">
        <v>1</v>
      </c>
      <c r="F37" s="183">
        <v>0</v>
      </c>
      <c r="G37" s="183">
        <f t="shared" si="8"/>
        <v>0</v>
      </c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4"/>
      <c r="V37" s="183"/>
      <c r="W37" s="163"/>
      <c r="X37" s="163"/>
      <c r="Y37" s="179">
        <f>(0.3+0.5)*1.15</f>
        <v>0.91999999999999993</v>
      </c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83">
        <f>(0.25+0.25+0.2+0.2)*430</f>
        <v>386.99999999999994</v>
      </c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ht="22.5" outlineLevel="1" x14ac:dyDescent="0.2">
      <c r="A38" s="164">
        <v>26</v>
      </c>
      <c r="B38" s="174" t="s">
        <v>187</v>
      </c>
      <c r="C38" s="193" t="s">
        <v>159</v>
      </c>
      <c r="D38" s="176" t="s">
        <v>102</v>
      </c>
      <c r="E38" s="179">
        <v>0.4</v>
      </c>
      <c r="F38" s="183">
        <v>0</v>
      </c>
      <c r="G38" s="183">
        <f t="shared" si="8"/>
        <v>0</v>
      </c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4"/>
      <c r="V38" s="183"/>
      <c r="W38" s="163"/>
      <c r="X38" s="163"/>
      <c r="Y38" s="163">
        <f>0.31*1.15</f>
        <v>0.35649999999999998</v>
      </c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83">
        <f>(0.25+0.25+0.25+0.25)*430</f>
        <v>430</v>
      </c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ht="22.5" outlineLevel="1" x14ac:dyDescent="0.2">
      <c r="A39" s="164">
        <v>27</v>
      </c>
      <c r="B39" s="174" t="s">
        <v>188</v>
      </c>
      <c r="C39" s="193" t="s">
        <v>160</v>
      </c>
      <c r="D39" s="176" t="s">
        <v>102</v>
      </c>
      <c r="E39" s="179">
        <v>1.4</v>
      </c>
      <c r="F39" s="183">
        <v>0</v>
      </c>
      <c r="G39" s="183">
        <f t="shared" si="8"/>
        <v>0</v>
      </c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4"/>
      <c r="V39" s="183"/>
      <c r="W39" s="163"/>
      <c r="X39" s="163"/>
      <c r="Y39" s="179">
        <f>(0.3+0.88)*1.15</f>
        <v>1.3569999999999998</v>
      </c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83">
        <f>3*385</f>
        <v>1155</v>
      </c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ht="22.5" outlineLevel="1" x14ac:dyDescent="0.2">
      <c r="A40" s="164">
        <v>28</v>
      </c>
      <c r="B40" s="174" t="s">
        <v>189</v>
      </c>
      <c r="C40" s="193" t="s">
        <v>117</v>
      </c>
      <c r="D40" s="176" t="s">
        <v>102</v>
      </c>
      <c r="E40" s="179">
        <v>1.4</v>
      </c>
      <c r="F40" s="183">
        <v>0</v>
      </c>
      <c r="G40" s="183">
        <f t="shared" si="8"/>
        <v>0</v>
      </c>
      <c r="H40" s="183"/>
      <c r="I40" s="183"/>
      <c r="J40" s="183"/>
      <c r="K40" s="183"/>
      <c r="L40" s="183"/>
      <c r="M40" s="183"/>
      <c r="N40" s="183"/>
      <c r="O40" s="183"/>
      <c r="P40" s="183"/>
      <c r="Q40" s="183"/>
      <c r="R40" s="183"/>
      <c r="S40" s="183"/>
      <c r="T40" s="183"/>
      <c r="U40" s="184"/>
      <c r="V40" s="183"/>
      <c r="W40" s="163"/>
      <c r="X40" s="163"/>
      <c r="Y40" s="179">
        <f>(0.4+0.3+0.45)*1.15</f>
        <v>1.3224999999999998</v>
      </c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83">
        <v>450</v>
      </c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ht="22.5" outlineLevel="1" x14ac:dyDescent="0.2">
      <c r="A41" s="164">
        <v>29</v>
      </c>
      <c r="B41" s="174" t="s">
        <v>190</v>
      </c>
      <c r="C41" s="193" t="s">
        <v>161</v>
      </c>
      <c r="D41" s="176" t="s">
        <v>102</v>
      </c>
      <c r="E41" s="179">
        <v>2</v>
      </c>
      <c r="F41" s="183">
        <v>0</v>
      </c>
      <c r="G41" s="183">
        <f t="shared" si="8"/>
        <v>0</v>
      </c>
      <c r="H41" s="183"/>
      <c r="I41" s="183"/>
      <c r="J41" s="183"/>
      <c r="K41" s="183"/>
      <c r="L41" s="183"/>
      <c r="M41" s="183"/>
      <c r="N41" s="183"/>
      <c r="O41" s="183"/>
      <c r="P41" s="183"/>
      <c r="Q41" s="183"/>
      <c r="R41" s="183"/>
      <c r="S41" s="183"/>
      <c r="T41" s="183"/>
      <c r="U41" s="184"/>
      <c r="V41" s="183"/>
      <c r="W41" s="163"/>
      <c r="X41" s="163"/>
      <c r="Y41" s="179">
        <f>(0.3+1.39)*1.15</f>
        <v>1.9434999999999998</v>
      </c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83">
        <f>(0.355+0.355+0.16+0.16)*430*3</f>
        <v>1328.7</v>
      </c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ht="22.5" outlineLevel="1" x14ac:dyDescent="0.2">
      <c r="A42" s="164">
        <v>30</v>
      </c>
      <c r="B42" s="174" t="s">
        <v>191</v>
      </c>
      <c r="C42" s="193" t="s">
        <v>118</v>
      </c>
      <c r="D42" s="176" t="s">
        <v>102</v>
      </c>
      <c r="E42" s="179">
        <v>2</v>
      </c>
      <c r="F42" s="183">
        <v>0</v>
      </c>
      <c r="G42" s="183">
        <f t="shared" si="8"/>
        <v>0</v>
      </c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4"/>
      <c r="V42" s="183"/>
      <c r="W42" s="163"/>
      <c r="X42" s="163"/>
      <c r="Y42" s="179">
        <f>(1.425+0.3)*1.15</f>
        <v>1.9837499999999999</v>
      </c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83">
        <v>525.6</v>
      </c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ht="22.5" outlineLevel="1" x14ac:dyDescent="0.2">
      <c r="A43" s="164">
        <v>31</v>
      </c>
      <c r="B43" s="174" t="s">
        <v>192</v>
      </c>
      <c r="C43" s="193" t="s">
        <v>162</v>
      </c>
      <c r="D43" s="176" t="s">
        <v>102</v>
      </c>
      <c r="E43" s="179">
        <v>1.4</v>
      </c>
      <c r="F43" s="183">
        <v>0</v>
      </c>
      <c r="G43" s="183">
        <f t="shared" si="8"/>
        <v>0</v>
      </c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183"/>
      <c r="T43" s="183"/>
      <c r="U43" s="184"/>
      <c r="V43" s="183"/>
      <c r="W43" s="163"/>
      <c r="X43" s="163"/>
      <c r="Y43" s="179">
        <f>(0.885+0.3)*1.15</f>
        <v>1.3627499999999999</v>
      </c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83">
        <f>(0.45+0.45+0.2+0.2)*430</f>
        <v>559</v>
      </c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ht="22.5" outlineLevel="1" x14ac:dyDescent="0.2">
      <c r="A44" s="164">
        <v>32</v>
      </c>
      <c r="B44" s="174" t="s">
        <v>193</v>
      </c>
      <c r="C44" s="193" t="s">
        <v>163</v>
      </c>
      <c r="D44" s="176" t="s">
        <v>102</v>
      </c>
      <c r="E44" s="179">
        <v>2.5</v>
      </c>
      <c r="F44" s="183">
        <v>0</v>
      </c>
      <c r="G44" s="183">
        <f t="shared" si="8"/>
        <v>0</v>
      </c>
      <c r="H44" s="183"/>
      <c r="I44" s="183"/>
      <c r="J44" s="183"/>
      <c r="K44" s="183"/>
      <c r="L44" s="183"/>
      <c r="M44" s="183"/>
      <c r="N44" s="183"/>
      <c r="O44" s="183"/>
      <c r="P44" s="183"/>
      <c r="Q44" s="183"/>
      <c r="R44" s="183"/>
      <c r="S44" s="183"/>
      <c r="T44" s="183"/>
      <c r="U44" s="184"/>
      <c r="V44" s="183"/>
      <c r="W44" s="163"/>
      <c r="X44" s="163"/>
      <c r="Y44" s="179">
        <f>2.1*1.15</f>
        <v>2.415</v>
      </c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83">
        <f>3*656.6</f>
        <v>1969.8000000000002</v>
      </c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ht="22.5" outlineLevel="1" x14ac:dyDescent="0.2">
      <c r="A45" s="164">
        <v>33</v>
      </c>
      <c r="B45" s="174" t="s">
        <v>194</v>
      </c>
      <c r="C45" s="193" t="s">
        <v>164</v>
      </c>
      <c r="D45" s="176" t="s">
        <v>102</v>
      </c>
      <c r="E45" s="179">
        <v>2.1</v>
      </c>
      <c r="F45" s="183">
        <v>0</v>
      </c>
      <c r="G45" s="183">
        <f t="shared" si="8"/>
        <v>0</v>
      </c>
      <c r="H45" s="183"/>
      <c r="I45" s="183"/>
      <c r="J45" s="183"/>
      <c r="K45" s="183"/>
      <c r="L45" s="183"/>
      <c r="M45" s="183"/>
      <c r="N45" s="183"/>
      <c r="O45" s="183"/>
      <c r="P45" s="183"/>
      <c r="Q45" s="183"/>
      <c r="R45" s="183"/>
      <c r="S45" s="183"/>
      <c r="T45" s="183"/>
      <c r="U45" s="184"/>
      <c r="V45" s="183"/>
      <c r="W45" s="163"/>
      <c r="X45" s="163"/>
      <c r="Y45" s="179">
        <f>(0.5+0.5+0.5+0.3)*1.15</f>
        <v>2.0699999999999998</v>
      </c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83">
        <f>(0.63+0.63+0.16+0.16)*430*3</f>
        <v>2038.1999999999998</v>
      </c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ht="22.5" outlineLevel="1" x14ac:dyDescent="0.2">
      <c r="A46" s="164">
        <v>34</v>
      </c>
      <c r="B46" s="174" t="s">
        <v>195</v>
      </c>
      <c r="C46" s="193" t="s">
        <v>166</v>
      </c>
      <c r="D46" s="176" t="s">
        <v>102</v>
      </c>
      <c r="E46" s="179">
        <v>9.4</v>
      </c>
      <c r="F46" s="183">
        <v>0</v>
      </c>
      <c r="G46" s="183">
        <f t="shared" si="8"/>
        <v>0</v>
      </c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4"/>
      <c r="V46" s="183"/>
      <c r="W46" s="163"/>
      <c r="X46" s="163"/>
      <c r="Y46" s="163">
        <v>3</v>
      </c>
      <c r="Z46" s="163">
        <f>(0.7+0.5+3.9)</f>
        <v>5.0999999999999996</v>
      </c>
      <c r="AA46" s="163">
        <f>(Z46+Y46)*1.15</f>
        <v>9.3149999999999995</v>
      </c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83">
        <f>(0.63+0.63+0.315+0.315)*430</f>
        <v>812.69999999999993</v>
      </c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ht="22.5" outlineLevel="1" x14ac:dyDescent="0.2">
      <c r="A47" s="164">
        <v>35</v>
      </c>
      <c r="B47" s="174" t="s">
        <v>196</v>
      </c>
      <c r="C47" s="193" t="s">
        <v>165</v>
      </c>
      <c r="D47" s="176" t="s">
        <v>102</v>
      </c>
      <c r="E47" s="179">
        <v>5.5</v>
      </c>
      <c r="F47" s="183">
        <v>0</v>
      </c>
      <c r="G47" s="183">
        <f t="shared" si="8"/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4"/>
      <c r="V47" s="183"/>
      <c r="W47" s="163"/>
      <c r="X47" s="163"/>
      <c r="Y47" s="163"/>
      <c r="Z47" s="163">
        <f>0.2+3.715+0.15+0.7</f>
        <v>4.7650000000000006</v>
      </c>
      <c r="AA47" s="163">
        <f>Z47*1.15</f>
        <v>5.4797500000000001</v>
      </c>
      <c r="AB47" s="163"/>
      <c r="AC47" s="163"/>
      <c r="AD47" s="163"/>
      <c r="AE47" s="163"/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83">
        <f>(0.63+0.63+0.315+0.315)*430*3</f>
        <v>2438.1</v>
      </c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x14ac:dyDescent="0.2">
      <c r="A48" s="170" t="s">
        <v>92</v>
      </c>
      <c r="B48" s="175" t="s">
        <v>57</v>
      </c>
      <c r="C48" s="194" t="s">
        <v>58</v>
      </c>
      <c r="D48" s="177"/>
      <c r="E48" s="180"/>
      <c r="F48" s="185"/>
      <c r="G48" s="185">
        <f>SUM(G49:G56)</f>
        <v>0</v>
      </c>
      <c r="H48" s="185"/>
      <c r="I48" s="185">
        <f>SUM(I49:I56)</f>
        <v>40600</v>
      </c>
      <c r="J48" s="185"/>
      <c r="K48" s="185">
        <f>SUM(K49:K56)</f>
        <v>0</v>
      </c>
      <c r="L48" s="185"/>
      <c r="M48" s="185">
        <f>SUM(M49:M56)</f>
        <v>0</v>
      </c>
      <c r="N48" s="185"/>
      <c r="O48" s="185">
        <f>SUM(O49:O56)</f>
        <v>0</v>
      </c>
      <c r="P48" s="185"/>
      <c r="Q48" s="185">
        <f>SUM(Q49:Q56)</f>
        <v>0</v>
      </c>
      <c r="R48" s="185"/>
      <c r="S48" s="185"/>
      <c r="T48" s="185"/>
      <c r="U48" s="186">
        <f>SUM(U49:U56)</f>
        <v>0</v>
      </c>
      <c r="V48" s="185"/>
      <c r="X48" s="201"/>
      <c r="Y48" s="201"/>
      <c r="Z48" s="201"/>
      <c r="AG48" t="s">
        <v>93</v>
      </c>
    </row>
    <row r="49" spans="1:60" outlineLevel="1" x14ac:dyDescent="0.2">
      <c r="A49" s="164">
        <v>36</v>
      </c>
      <c r="B49" s="174" t="s">
        <v>131</v>
      </c>
      <c r="C49" s="193" t="s">
        <v>170</v>
      </c>
      <c r="D49" s="176" t="s">
        <v>98</v>
      </c>
      <c r="E49" s="179">
        <v>8</v>
      </c>
      <c r="F49" s="183">
        <v>0</v>
      </c>
      <c r="G49" s="183">
        <f t="shared" ref="G49:G56" si="9">E49*F49</f>
        <v>0</v>
      </c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183"/>
      <c r="T49" s="183"/>
      <c r="U49" s="184"/>
      <c r="V49" s="183"/>
      <c r="W49" s="163"/>
      <c r="X49" s="200"/>
      <c r="Y49" s="200"/>
      <c r="Z49" s="200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">
      <c r="A50" s="164">
        <v>37</v>
      </c>
      <c r="B50" s="174" t="s">
        <v>101</v>
      </c>
      <c r="C50" s="193" t="s">
        <v>167</v>
      </c>
      <c r="D50" s="176" t="s">
        <v>146</v>
      </c>
      <c r="E50" s="179">
        <v>1</v>
      </c>
      <c r="F50" s="183">
        <v>0</v>
      </c>
      <c r="G50" s="183">
        <f t="shared" si="9"/>
        <v>0</v>
      </c>
      <c r="H50" s="183">
        <v>12100</v>
      </c>
      <c r="I50" s="183">
        <f t="shared" ref="I50:I56" si="10">ROUND(E50*H50,2)</f>
        <v>12100</v>
      </c>
      <c r="J50" s="183">
        <v>0</v>
      </c>
      <c r="K50" s="183">
        <f t="shared" ref="K50:K56" si="11">ROUND(E50*J50,2)</f>
        <v>0</v>
      </c>
      <c r="L50" s="183">
        <v>21</v>
      </c>
      <c r="M50" s="183">
        <f t="shared" ref="M50:M56" si="12">G50*(1+L50/100)</f>
        <v>0</v>
      </c>
      <c r="N50" s="183">
        <v>0</v>
      </c>
      <c r="O50" s="183">
        <f t="shared" ref="O50:O56" si="13">ROUND(E50*N50,2)</f>
        <v>0</v>
      </c>
      <c r="P50" s="183">
        <v>0</v>
      </c>
      <c r="Q50" s="183">
        <f t="shared" ref="Q50:Q56" si="14">ROUND(E50*P50,2)</f>
        <v>0</v>
      </c>
      <c r="R50" s="183"/>
      <c r="S50" s="183" t="s">
        <v>95</v>
      </c>
      <c r="T50" s="183">
        <v>0</v>
      </c>
      <c r="U50" s="184">
        <f t="shared" ref="U50:U56" si="15">ROUND(E50*T50,2)</f>
        <v>0</v>
      </c>
      <c r="V50" s="183"/>
      <c r="W50" s="163"/>
      <c r="X50" s="200"/>
      <c r="Y50" s="200"/>
      <c r="Z50" s="200"/>
      <c r="AA50" s="163"/>
      <c r="AB50" s="163"/>
      <c r="AC50" s="163"/>
      <c r="AD50" s="163"/>
      <c r="AE50" s="163"/>
      <c r="AF50" s="163"/>
      <c r="AG50" s="163" t="s">
        <v>96</v>
      </c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">
      <c r="A51" s="164">
        <v>38</v>
      </c>
      <c r="B51" s="174" t="s">
        <v>173</v>
      </c>
      <c r="C51" s="193" t="s">
        <v>145</v>
      </c>
      <c r="D51" s="176" t="s">
        <v>146</v>
      </c>
      <c r="E51" s="179">
        <v>1</v>
      </c>
      <c r="F51" s="183">
        <v>0</v>
      </c>
      <c r="G51" s="183">
        <f>F51*E51</f>
        <v>0</v>
      </c>
      <c r="H51" s="183"/>
      <c r="I51" s="183"/>
      <c r="J51" s="183"/>
      <c r="K51" s="183"/>
      <c r="L51" s="183"/>
      <c r="M51" s="183"/>
      <c r="N51" s="183"/>
      <c r="O51" s="183"/>
      <c r="P51" s="183"/>
      <c r="Q51" s="183"/>
      <c r="R51" s="183"/>
      <c r="S51" s="183"/>
      <c r="T51" s="183"/>
      <c r="U51" s="184"/>
      <c r="V51" s="183"/>
      <c r="W51" s="163"/>
      <c r="X51" s="200"/>
      <c r="Y51" s="200"/>
      <c r="Z51" s="200"/>
      <c r="AA51" s="163"/>
      <c r="AB51" s="163"/>
      <c r="AC51" s="163"/>
      <c r="AD51" s="163"/>
      <c r="AE51" s="163"/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ht="22.5" outlineLevel="1" x14ac:dyDescent="0.2">
      <c r="A52" s="164">
        <v>39</v>
      </c>
      <c r="B52" s="174" t="s">
        <v>174</v>
      </c>
      <c r="C52" s="193" t="s">
        <v>175</v>
      </c>
      <c r="D52" s="176" t="s">
        <v>146</v>
      </c>
      <c r="E52" s="179">
        <v>1</v>
      </c>
      <c r="F52" s="183">
        <v>0</v>
      </c>
      <c r="G52" s="183">
        <f>E52*F52</f>
        <v>0</v>
      </c>
      <c r="H52" s="183"/>
      <c r="I52" s="183"/>
      <c r="J52" s="183"/>
      <c r="K52" s="183"/>
      <c r="L52" s="183"/>
      <c r="M52" s="183"/>
      <c r="N52" s="183"/>
      <c r="O52" s="183"/>
      <c r="P52" s="183"/>
      <c r="Q52" s="183"/>
      <c r="R52" s="183"/>
      <c r="S52" s="183"/>
      <c r="T52" s="183"/>
      <c r="U52" s="184"/>
      <c r="V52" s="183"/>
      <c r="W52" s="163"/>
      <c r="X52" s="200"/>
      <c r="Y52" s="200"/>
      <c r="Z52" s="200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">
      <c r="A53" s="164">
        <v>40</v>
      </c>
      <c r="B53" s="174" t="s">
        <v>103</v>
      </c>
      <c r="C53" s="193" t="s">
        <v>144</v>
      </c>
      <c r="D53" s="176" t="s">
        <v>98</v>
      </c>
      <c r="E53" s="179">
        <v>1</v>
      </c>
      <c r="F53" s="183">
        <v>0</v>
      </c>
      <c r="G53" s="183">
        <f t="shared" si="9"/>
        <v>0</v>
      </c>
      <c r="H53" s="183">
        <v>12000</v>
      </c>
      <c r="I53" s="183">
        <f t="shared" si="10"/>
        <v>12000</v>
      </c>
      <c r="J53" s="183">
        <v>0</v>
      </c>
      <c r="K53" s="183">
        <f t="shared" si="11"/>
        <v>0</v>
      </c>
      <c r="L53" s="183">
        <v>21</v>
      </c>
      <c r="M53" s="183">
        <f t="shared" si="12"/>
        <v>0</v>
      </c>
      <c r="N53" s="183">
        <v>0</v>
      </c>
      <c r="O53" s="183">
        <f t="shared" si="13"/>
        <v>0</v>
      </c>
      <c r="P53" s="183">
        <v>0</v>
      </c>
      <c r="Q53" s="183">
        <f t="shared" si="14"/>
        <v>0</v>
      </c>
      <c r="R53" s="183"/>
      <c r="S53" s="183" t="s">
        <v>95</v>
      </c>
      <c r="T53" s="183">
        <v>0</v>
      </c>
      <c r="U53" s="184">
        <f t="shared" si="15"/>
        <v>0</v>
      </c>
      <c r="V53" s="183"/>
      <c r="W53" s="163"/>
      <c r="X53" s="200"/>
      <c r="Y53" s="200"/>
      <c r="Z53" s="200"/>
      <c r="AA53" s="163"/>
      <c r="AB53" s="163"/>
      <c r="AC53" s="163"/>
      <c r="AD53" s="163"/>
      <c r="AE53" s="163"/>
      <c r="AF53" s="163"/>
      <c r="AG53" s="163" t="s">
        <v>96</v>
      </c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">
      <c r="A54" s="164">
        <v>41</v>
      </c>
      <c r="B54" s="174" t="s">
        <v>104</v>
      </c>
      <c r="C54" s="193" t="s">
        <v>105</v>
      </c>
      <c r="D54" s="176" t="s">
        <v>98</v>
      </c>
      <c r="E54" s="179">
        <v>1</v>
      </c>
      <c r="F54" s="183">
        <v>0</v>
      </c>
      <c r="G54" s="183">
        <f t="shared" si="9"/>
        <v>0</v>
      </c>
      <c r="H54" s="183">
        <v>3000</v>
      </c>
      <c r="I54" s="183">
        <f t="shared" si="10"/>
        <v>3000</v>
      </c>
      <c r="J54" s="183">
        <v>0</v>
      </c>
      <c r="K54" s="183">
        <f t="shared" si="11"/>
        <v>0</v>
      </c>
      <c r="L54" s="183">
        <v>21</v>
      </c>
      <c r="M54" s="183">
        <f t="shared" si="12"/>
        <v>0</v>
      </c>
      <c r="N54" s="183">
        <v>0</v>
      </c>
      <c r="O54" s="183">
        <f t="shared" si="13"/>
        <v>0</v>
      </c>
      <c r="P54" s="183">
        <v>0</v>
      </c>
      <c r="Q54" s="183">
        <f t="shared" si="14"/>
        <v>0</v>
      </c>
      <c r="R54" s="183"/>
      <c r="S54" s="183" t="s">
        <v>95</v>
      </c>
      <c r="T54" s="183">
        <v>0</v>
      </c>
      <c r="U54" s="184">
        <f t="shared" si="15"/>
        <v>0</v>
      </c>
      <c r="V54" s="183"/>
      <c r="W54" s="163"/>
      <c r="X54" s="200"/>
      <c r="Y54" s="200"/>
      <c r="Z54" s="200"/>
      <c r="AA54" s="163"/>
      <c r="AB54" s="163"/>
      <c r="AC54" s="163"/>
      <c r="AD54" s="163"/>
      <c r="AE54" s="163"/>
      <c r="AF54" s="163"/>
      <c r="AG54" s="163" t="s">
        <v>96</v>
      </c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">
      <c r="A55" s="164">
        <v>42</v>
      </c>
      <c r="B55" s="174" t="s">
        <v>106</v>
      </c>
      <c r="C55" s="193" t="s">
        <v>107</v>
      </c>
      <c r="D55" s="176" t="s">
        <v>98</v>
      </c>
      <c r="E55" s="179">
        <v>1</v>
      </c>
      <c r="F55" s="183">
        <v>0</v>
      </c>
      <c r="G55" s="183">
        <f t="shared" si="9"/>
        <v>0</v>
      </c>
      <c r="H55" s="183">
        <v>6000</v>
      </c>
      <c r="I55" s="183">
        <f t="shared" si="10"/>
        <v>6000</v>
      </c>
      <c r="J55" s="183">
        <v>0</v>
      </c>
      <c r="K55" s="183">
        <f t="shared" si="11"/>
        <v>0</v>
      </c>
      <c r="L55" s="183">
        <v>21</v>
      </c>
      <c r="M55" s="183">
        <f t="shared" si="12"/>
        <v>0</v>
      </c>
      <c r="N55" s="183">
        <v>0</v>
      </c>
      <c r="O55" s="183">
        <f t="shared" si="13"/>
        <v>0</v>
      </c>
      <c r="P55" s="183">
        <v>0</v>
      </c>
      <c r="Q55" s="183">
        <f t="shared" si="14"/>
        <v>0</v>
      </c>
      <c r="R55" s="183"/>
      <c r="S55" s="183" t="s">
        <v>95</v>
      </c>
      <c r="T55" s="183">
        <v>0</v>
      </c>
      <c r="U55" s="184">
        <f t="shared" si="15"/>
        <v>0</v>
      </c>
      <c r="V55" s="183"/>
      <c r="W55" s="163"/>
      <c r="X55" s="200"/>
      <c r="Y55" s="200"/>
      <c r="Z55" s="200"/>
      <c r="AA55" s="163"/>
      <c r="AB55" s="163"/>
      <c r="AC55" s="163"/>
      <c r="AD55" s="163"/>
      <c r="AE55" s="163"/>
      <c r="AF55" s="163"/>
      <c r="AG55" s="163" t="s">
        <v>96</v>
      </c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">
      <c r="A56" s="164">
        <v>43</v>
      </c>
      <c r="B56" s="174" t="s">
        <v>108</v>
      </c>
      <c r="C56" s="193" t="s">
        <v>109</v>
      </c>
      <c r="D56" s="176" t="s">
        <v>98</v>
      </c>
      <c r="E56" s="179">
        <v>1</v>
      </c>
      <c r="F56" s="183">
        <v>0</v>
      </c>
      <c r="G56" s="183">
        <f t="shared" si="9"/>
        <v>0</v>
      </c>
      <c r="H56" s="183">
        <v>7500</v>
      </c>
      <c r="I56" s="183">
        <f t="shared" si="10"/>
        <v>7500</v>
      </c>
      <c r="J56" s="183">
        <v>0</v>
      </c>
      <c r="K56" s="183">
        <f t="shared" si="11"/>
        <v>0</v>
      </c>
      <c r="L56" s="183">
        <v>21</v>
      </c>
      <c r="M56" s="183">
        <f t="shared" si="12"/>
        <v>0</v>
      </c>
      <c r="N56" s="183">
        <v>0</v>
      </c>
      <c r="O56" s="183">
        <f t="shared" si="13"/>
        <v>0</v>
      </c>
      <c r="P56" s="183">
        <v>0</v>
      </c>
      <c r="Q56" s="183">
        <f t="shared" si="14"/>
        <v>0</v>
      </c>
      <c r="R56" s="183"/>
      <c r="S56" s="183" t="s">
        <v>95</v>
      </c>
      <c r="T56" s="183">
        <v>0</v>
      </c>
      <c r="U56" s="184">
        <f t="shared" si="15"/>
        <v>0</v>
      </c>
      <c r="V56" s="183"/>
      <c r="W56" s="163"/>
      <c r="X56" s="200"/>
      <c r="Y56" s="200"/>
      <c r="Z56" s="200"/>
      <c r="AA56" s="163"/>
      <c r="AB56" s="163"/>
      <c r="AC56" s="163"/>
      <c r="AD56" s="163"/>
      <c r="AE56" s="163"/>
      <c r="AF56" s="163"/>
      <c r="AG56" s="163" t="s">
        <v>96</v>
      </c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x14ac:dyDescent="0.2">
      <c r="A57" s="170" t="s">
        <v>92</v>
      </c>
      <c r="B57" s="175" t="s">
        <v>65</v>
      </c>
      <c r="C57" s="194" t="s">
        <v>66</v>
      </c>
      <c r="D57" s="177"/>
      <c r="E57" s="180"/>
      <c r="F57" s="185"/>
      <c r="G57" s="185">
        <f>SUM(G58:G59)</f>
        <v>0</v>
      </c>
      <c r="H57" s="185"/>
      <c r="I57" s="185">
        <f>SUM(I58:I59)</f>
        <v>21070</v>
      </c>
      <c r="J57" s="185"/>
      <c r="K57" s="185">
        <f>SUM(K58:K59)</f>
        <v>0</v>
      </c>
      <c r="L57" s="185"/>
      <c r="M57" s="185">
        <f>SUM(M58:M59)</f>
        <v>0</v>
      </c>
      <c r="N57" s="185"/>
      <c r="O57" s="185">
        <f>SUM(O58:O59)</f>
        <v>0</v>
      </c>
      <c r="P57" s="185"/>
      <c r="Q57" s="185">
        <f>SUM(Q58:Q59)</f>
        <v>0</v>
      </c>
      <c r="R57" s="185"/>
      <c r="S57" s="185"/>
      <c r="T57" s="185"/>
      <c r="U57" s="186">
        <f>SUM(U58:U59)</f>
        <v>0</v>
      </c>
      <c r="V57" s="185"/>
      <c r="AG57" t="s">
        <v>93</v>
      </c>
    </row>
    <row r="58" spans="1:60" ht="22.5" outlineLevel="1" x14ac:dyDescent="0.2">
      <c r="A58" s="164">
        <v>44</v>
      </c>
      <c r="B58" s="174" t="s">
        <v>120</v>
      </c>
      <c r="C58" s="193" t="s">
        <v>151</v>
      </c>
      <c r="D58" s="176" t="s">
        <v>119</v>
      </c>
      <c r="E58" s="179">
        <v>20</v>
      </c>
      <c r="F58" s="183">
        <v>0</v>
      </c>
      <c r="G58" s="183">
        <f t="shared" ref="G58:G59" si="16">F58*E58</f>
        <v>0</v>
      </c>
      <c r="H58" s="183">
        <v>904</v>
      </c>
      <c r="I58" s="183">
        <f>ROUND(E58*H58,2)</f>
        <v>18080</v>
      </c>
      <c r="J58" s="183">
        <v>0</v>
      </c>
      <c r="K58" s="183">
        <f>ROUND(E58*J58,2)</f>
        <v>0</v>
      </c>
      <c r="L58" s="183">
        <v>21</v>
      </c>
      <c r="M58" s="183">
        <f>G58*(1+L58/100)</f>
        <v>0</v>
      </c>
      <c r="N58" s="183">
        <v>0</v>
      </c>
      <c r="O58" s="183">
        <f>ROUND(E58*N58,2)</f>
        <v>0</v>
      </c>
      <c r="P58" s="183">
        <v>0</v>
      </c>
      <c r="Q58" s="183">
        <f>ROUND(E58*P58,2)</f>
        <v>0</v>
      </c>
      <c r="R58" s="183"/>
      <c r="S58" s="183" t="s">
        <v>95</v>
      </c>
      <c r="T58" s="183">
        <v>0</v>
      </c>
      <c r="U58" s="184">
        <f>ROUND(E58*T58,2)</f>
        <v>0</v>
      </c>
      <c r="V58" s="183"/>
      <c r="W58" s="163"/>
      <c r="X58" s="163">
        <f>(((1.4*1.12)+(1.89*8.25))*1.15)</f>
        <v>19.734574999999996</v>
      </c>
      <c r="Y58" s="163" t="s">
        <v>152</v>
      </c>
      <c r="Z58" s="163"/>
      <c r="AA58" s="163"/>
      <c r="AB58" s="163"/>
      <c r="AC58" s="163"/>
      <c r="AD58" s="163"/>
      <c r="AE58" s="163"/>
      <c r="AF58" s="163"/>
      <c r="AG58" s="163" t="s">
        <v>96</v>
      </c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 x14ac:dyDescent="0.2">
      <c r="A59" s="187">
        <v>45</v>
      </c>
      <c r="B59" s="188" t="s">
        <v>121</v>
      </c>
      <c r="C59" s="195" t="s">
        <v>122</v>
      </c>
      <c r="D59" s="189" t="s">
        <v>119</v>
      </c>
      <c r="E59" s="190">
        <v>5</v>
      </c>
      <c r="F59" s="191">
        <v>0</v>
      </c>
      <c r="G59" s="191">
        <f t="shared" si="16"/>
        <v>0</v>
      </c>
      <c r="H59" s="191">
        <v>598</v>
      </c>
      <c r="I59" s="191">
        <f>ROUND(E59*H59,2)</f>
        <v>2990</v>
      </c>
      <c r="J59" s="191">
        <v>0</v>
      </c>
      <c r="K59" s="191">
        <f>ROUND(E59*J59,2)</f>
        <v>0</v>
      </c>
      <c r="L59" s="191">
        <v>21</v>
      </c>
      <c r="M59" s="191">
        <f>G59*(1+L59/100)</f>
        <v>0</v>
      </c>
      <c r="N59" s="191">
        <v>0</v>
      </c>
      <c r="O59" s="191">
        <f>ROUND(E59*N59,2)</f>
        <v>0</v>
      </c>
      <c r="P59" s="191">
        <v>0</v>
      </c>
      <c r="Q59" s="191">
        <f>ROUND(E59*P59,2)</f>
        <v>0</v>
      </c>
      <c r="R59" s="191"/>
      <c r="S59" s="191" t="s">
        <v>95</v>
      </c>
      <c r="T59" s="191">
        <v>0</v>
      </c>
      <c r="U59" s="192">
        <f>ROUND(E59*T59,2)</f>
        <v>0</v>
      </c>
      <c r="V59" s="191"/>
      <c r="W59" s="163"/>
      <c r="X59" s="163">
        <f>((1.89*1.9)*1.15)</f>
        <v>4.1296499999999998</v>
      </c>
      <c r="Y59" s="163" t="s">
        <v>152</v>
      </c>
      <c r="Z59" s="163"/>
      <c r="AA59" s="163"/>
      <c r="AB59" s="163"/>
      <c r="AC59" s="163"/>
      <c r="AD59" s="163"/>
      <c r="AE59" s="163"/>
      <c r="AF59" s="163"/>
      <c r="AG59" s="163" t="s">
        <v>96</v>
      </c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x14ac:dyDescent="0.2">
      <c r="A60" s="6"/>
      <c r="B60" s="7" t="s">
        <v>123</v>
      </c>
      <c r="C60" s="196" t="s">
        <v>123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AE60">
        <v>15</v>
      </c>
      <c r="AF60">
        <v>21</v>
      </c>
    </row>
    <row r="61" spans="1:60" x14ac:dyDescent="0.2">
      <c r="C61" s="197"/>
      <c r="AG61" t="s">
        <v>124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JackobD</cp:lastModifiedBy>
  <cp:lastPrinted>2017-06-02T06:11:14Z</cp:lastPrinted>
  <dcterms:created xsi:type="dcterms:W3CDTF">2009-04-08T07:15:50Z</dcterms:created>
  <dcterms:modified xsi:type="dcterms:W3CDTF">2017-06-05T07:38:59Z</dcterms:modified>
</cp:coreProperties>
</file>